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Definition8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pivotCache/pivotCacheDefinition9.xml" ContentType="application/vnd.openxmlformats-officedocument.spreadsheetml.pivotCacheDefinition+xml"/>
  <Override PartName="/xl/pivotCache/pivotCacheRecords9.xml" ContentType="application/vnd.openxmlformats-officedocument.spreadsheetml.pivotCacheRecords+xml"/>
  <Override PartName="/xl/pivotCache/pivotCacheDefinition10.xml" ContentType="application/vnd.openxmlformats-officedocument.spreadsheetml.pivotCacheDefinition+xml"/>
  <Override PartName="/xl/pivotCache/pivotCacheRecords10.xml" ContentType="application/vnd.openxmlformats-officedocument.spreadsheetml.pivotCacheRecords+xml"/>
  <Override PartName="/xl/pivotCache/pivotCacheDefinition11.xml" ContentType="application/vnd.openxmlformats-officedocument.spreadsheetml.pivotCacheDefinition+xml"/>
  <Override PartName="/xl/pivotCache/pivotCacheRecords11.xml" ContentType="application/vnd.openxmlformats-officedocument.spreadsheetml.pivotCacheRecords+xml"/>
  <Override PartName="/xl/pivotCache/pivotCacheDefinition12.xml" ContentType="application/vnd.openxmlformats-officedocument.spreadsheetml.pivotCacheDefinition+xml"/>
  <Override PartName="/xl/pivotCache/pivotCacheRecords12.xml" ContentType="application/vnd.openxmlformats-officedocument.spreadsheetml.pivotCacheRecords+xml"/>
  <Override PartName="/xl/pivotCache/pivotCacheDefinition13.xml" ContentType="application/vnd.openxmlformats-officedocument.spreadsheetml.pivotCacheDefinition+xml"/>
  <Override PartName="/xl/pivotCache/pivotCacheRecords13.xml" ContentType="application/vnd.openxmlformats-officedocument.spreadsheetml.pivotCacheRecords+xml"/>
  <Override PartName="/xl/pivotCache/pivotCacheDefinition14.xml" ContentType="application/vnd.openxmlformats-officedocument.spreadsheetml.pivotCacheDefinition+xml"/>
  <Override PartName="/xl/pivotCache/pivotCacheRecords1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livieskankaupunki-my.sharepoint.com/personal/maria_sorvisto_ylivieska_fi/Documents/Omat/"/>
    </mc:Choice>
  </mc:AlternateContent>
  <xr:revisionPtr revIDLastSave="0" documentId="8_{605711F3-B01F-4104-AADA-143FF300470A}" xr6:coauthVersionLast="47" xr6:coauthVersionMax="47" xr10:uidLastSave="{00000000-0000-0000-0000-000000000000}"/>
  <bookViews>
    <workbookView xWindow="-110" yWindow="-110" windowWidth="19420" windowHeight="10300" activeTab="1" xr2:uid="{61210D75-9F1A-44FA-ACC7-C5F7B45AD1A3}"/>
  </bookViews>
  <sheets>
    <sheet name="Seurapisteet" sheetId="4" r:id="rId1"/>
    <sheet name="KP-CUP" sheetId="1" r:id="rId2"/>
    <sheet name="Pohja" sheetId="2" r:id="rId3"/>
  </sheets>
  <calcPr calcId="191029"/>
  <pivotCaches>
    <pivotCache cacheId="0" r:id="rId4"/>
    <pivotCache cacheId="1" r:id="rId5"/>
    <pivotCache cacheId="2" r:id="rId6"/>
    <pivotCache cacheId="3" r:id="rId7"/>
    <pivotCache cacheId="4" r:id="rId8"/>
    <pivotCache cacheId="5" r:id="rId9"/>
    <pivotCache cacheId="6" r:id="rId10"/>
    <pivotCache cacheId="7" r:id="rId11"/>
    <pivotCache cacheId="8" r:id="rId12"/>
    <pivotCache cacheId="9" r:id="rId13"/>
    <pivotCache cacheId="10" r:id="rId14"/>
    <pivotCache cacheId="11" r:id="rId15"/>
    <pivotCache cacheId="12" r:id="rId16"/>
    <pivotCache cacheId="13" r:id="rId1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3" i="1" l="1"/>
  <c r="N173" i="1" s="1"/>
  <c r="M174" i="1"/>
  <c r="N174" i="1" s="1"/>
  <c r="M175" i="1"/>
  <c r="N175" i="1" s="1"/>
  <c r="M176" i="1"/>
  <c r="N176" i="1" s="1"/>
  <c r="J173" i="1"/>
  <c r="J174" i="1"/>
  <c r="J175" i="1"/>
  <c r="J176" i="1"/>
  <c r="M166" i="1"/>
  <c r="N166" i="1" s="1"/>
  <c r="M156" i="1"/>
  <c r="N156" i="1" s="1"/>
  <c r="M155" i="1"/>
  <c r="N155" i="1" s="1"/>
  <c r="M157" i="1"/>
  <c r="N157" i="1" s="1"/>
  <c r="M158" i="1"/>
  <c r="N158" i="1" s="1"/>
  <c r="M159" i="1"/>
  <c r="N159" i="1" s="1"/>
  <c r="M160" i="1"/>
  <c r="N160" i="1" s="1"/>
  <c r="M161" i="1"/>
  <c r="N161" i="1" s="1"/>
  <c r="J156" i="1"/>
  <c r="J155" i="1"/>
  <c r="J157" i="1"/>
  <c r="J158" i="1"/>
  <c r="J159" i="1"/>
  <c r="J160" i="1"/>
  <c r="J161" i="1"/>
  <c r="M142" i="1"/>
  <c r="N142" i="1" s="1"/>
  <c r="M144" i="1"/>
  <c r="N144" i="1" s="1"/>
  <c r="M143" i="1"/>
  <c r="N143" i="1" s="1"/>
  <c r="M145" i="1"/>
  <c r="N145" i="1" s="1"/>
  <c r="M146" i="1"/>
  <c r="N146" i="1" s="1"/>
  <c r="M147" i="1"/>
  <c r="N147" i="1" s="1"/>
  <c r="M148" i="1"/>
  <c r="N148" i="1" s="1"/>
  <c r="J142" i="1"/>
  <c r="J144" i="1"/>
  <c r="J143" i="1"/>
  <c r="J145" i="1"/>
  <c r="J146" i="1"/>
  <c r="J147" i="1"/>
  <c r="J148" i="1"/>
  <c r="M130" i="1"/>
  <c r="N130" i="1" s="1"/>
  <c r="M132" i="1"/>
  <c r="N132" i="1" s="1"/>
  <c r="M131" i="1"/>
  <c r="N131" i="1" s="1"/>
  <c r="M134" i="1"/>
  <c r="N134" i="1" s="1"/>
  <c r="M133" i="1"/>
  <c r="N133" i="1" s="1"/>
  <c r="M135" i="1"/>
  <c r="N135" i="1" s="1"/>
  <c r="J130" i="1"/>
  <c r="J132" i="1"/>
  <c r="J131" i="1"/>
  <c r="J134" i="1"/>
  <c r="J133" i="1"/>
  <c r="J135" i="1"/>
  <c r="M123" i="1"/>
  <c r="N123" i="1" s="1"/>
  <c r="J123" i="1"/>
  <c r="M112" i="1"/>
  <c r="N112" i="1" s="1"/>
  <c r="M113" i="1"/>
  <c r="N113" i="1" s="1"/>
  <c r="M115" i="1"/>
  <c r="N115" i="1" s="1"/>
  <c r="M114" i="1"/>
  <c r="N114" i="1" s="1"/>
  <c r="M116" i="1"/>
  <c r="N116" i="1" s="1"/>
  <c r="J112" i="1"/>
  <c r="J113" i="1"/>
  <c r="J115" i="1"/>
  <c r="J114" i="1"/>
  <c r="J116" i="1"/>
  <c r="M101" i="1"/>
  <c r="N101" i="1" s="1"/>
  <c r="M102" i="1"/>
  <c r="N102" i="1" s="1"/>
  <c r="M103" i="1"/>
  <c r="N103" i="1" s="1"/>
  <c r="M104" i="1"/>
  <c r="N104" i="1" s="1"/>
  <c r="M106" i="1"/>
  <c r="N106" i="1" s="1"/>
  <c r="M105" i="1"/>
  <c r="N105" i="1" s="1"/>
  <c r="J105" i="1"/>
  <c r="J101" i="1"/>
  <c r="J102" i="1"/>
  <c r="J103" i="1"/>
  <c r="J104" i="1"/>
  <c r="J106" i="1"/>
  <c r="M88" i="1"/>
  <c r="N88" i="1" s="1"/>
  <c r="M89" i="1"/>
  <c r="N89" i="1" s="1"/>
  <c r="M90" i="1"/>
  <c r="N90" i="1" s="1"/>
  <c r="M91" i="1"/>
  <c r="N91" i="1" s="1"/>
  <c r="M92" i="1"/>
  <c r="N92" i="1" s="1"/>
  <c r="M87" i="1"/>
  <c r="N87" i="1" s="1"/>
  <c r="M93" i="1"/>
  <c r="N93" i="1" s="1"/>
  <c r="M94" i="1"/>
  <c r="N94" i="1" s="1"/>
  <c r="J87" i="1"/>
  <c r="J88" i="1"/>
  <c r="J90" i="1"/>
  <c r="J89" i="1"/>
  <c r="J91" i="1"/>
  <c r="J92" i="1"/>
  <c r="J93" i="1"/>
  <c r="J94" i="1"/>
  <c r="M73" i="1"/>
  <c r="N73" i="1" s="1"/>
  <c r="M72" i="1"/>
  <c r="N72" i="1" s="1"/>
  <c r="M76" i="1"/>
  <c r="N76" i="1" s="1"/>
  <c r="M74" i="1"/>
  <c r="N74" i="1" s="1"/>
  <c r="M75" i="1"/>
  <c r="N75" i="1" s="1"/>
  <c r="M78" i="1"/>
  <c r="N78" i="1" s="1"/>
  <c r="M82" i="1"/>
  <c r="N82" i="1" s="1"/>
  <c r="M77" i="1"/>
  <c r="N77" i="1" s="1"/>
  <c r="M79" i="1"/>
  <c r="N79" i="1" s="1"/>
  <c r="M80" i="1"/>
  <c r="N80" i="1" s="1"/>
  <c r="M81" i="1"/>
  <c r="N81" i="1" s="1"/>
  <c r="J82" i="1"/>
  <c r="J72" i="1"/>
  <c r="J73" i="1"/>
  <c r="J75" i="1"/>
  <c r="J74" i="1"/>
  <c r="J77" i="1"/>
  <c r="J78" i="1"/>
  <c r="J79" i="1"/>
  <c r="J80" i="1"/>
  <c r="J81" i="1"/>
  <c r="J76" i="1"/>
  <c r="M49" i="1"/>
  <c r="N49" i="1" s="1"/>
  <c r="M51" i="1"/>
  <c r="N51" i="1" s="1"/>
  <c r="M52" i="1"/>
  <c r="N52" i="1" s="1"/>
  <c r="M50" i="1"/>
  <c r="N50" i="1" s="1"/>
  <c r="M54" i="1"/>
  <c r="N54" i="1" s="1"/>
  <c r="M55" i="1"/>
  <c r="N55" i="1" s="1"/>
  <c r="M53" i="1"/>
  <c r="N53" i="1" s="1"/>
  <c r="M57" i="1"/>
  <c r="N57" i="1" s="1"/>
  <c r="M59" i="1"/>
  <c r="N59" i="1" s="1"/>
  <c r="M56" i="1"/>
  <c r="N56" i="1" s="1"/>
  <c r="M58" i="1"/>
  <c r="N58" i="1" s="1"/>
  <c r="M60" i="1"/>
  <c r="N60" i="1" s="1"/>
  <c r="M61" i="1"/>
  <c r="N61" i="1" s="1"/>
  <c r="M62" i="1"/>
  <c r="N62" i="1" s="1"/>
  <c r="M63" i="1"/>
  <c r="N63" i="1" s="1"/>
  <c r="M64" i="1"/>
  <c r="N64" i="1" s="1"/>
  <c r="J49" i="1"/>
  <c r="J50" i="1"/>
  <c r="J51" i="1"/>
  <c r="J52" i="1"/>
  <c r="J56" i="1"/>
  <c r="J58" i="1"/>
  <c r="J57" i="1"/>
  <c r="J53" i="1"/>
  <c r="J55" i="1"/>
  <c r="J54" i="1"/>
  <c r="J60" i="1"/>
  <c r="J59" i="1"/>
  <c r="J61" i="1"/>
  <c r="J62" i="1"/>
  <c r="J63" i="1"/>
  <c r="J64" i="1"/>
  <c r="M30" i="1"/>
  <c r="N30" i="1" s="1"/>
  <c r="M31" i="1"/>
  <c r="N31" i="1" s="1"/>
  <c r="M34" i="1"/>
  <c r="N34" i="1" s="1"/>
  <c r="M32" i="1"/>
  <c r="N32" i="1" s="1"/>
  <c r="M35" i="1"/>
  <c r="N35" i="1" s="1"/>
  <c r="M36" i="1"/>
  <c r="N36" i="1" s="1"/>
  <c r="M33" i="1"/>
  <c r="N33" i="1" s="1"/>
  <c r="M39" i="1"/>
  <c r="N39" i="1" s="1"/>
  <c r="M40" i="1"/>
  <c r="N40" i="1" s="1"/>
  <c r="M41" i="1"/>
  <c r="N41" i="1" s="1"/>
  <c r="M37" i="1"/>
  <c r="N37" i="1" s="1"/>
  <c r="M42" i="1"/>
  <c r="N42" i="1" s="1"/>
  <c r="M43" i="1"/>
  <c r="N43" i="1" s="1"/>
  <c r="M38" i="1"/>
  <c r="N38" i="1" s="1"/>
  <c r="J38" i="1"/>
  <c r="J30" i="1"/>
  <c r="J31" i="1"/>
  <c r="J34" i="1"/>
  <c r="J32" i="1"/>
  <c r="J35" i="1"/>
  <c r="J36" i="1"/>
  <c r="J33" i="1"/>
  <c r="J39" i="1"/>
  <c r="J40" i="1"/>
  <c r="J41" i="1"/>
  <c r="J37" i="1"/>
  <c r="J42" i="1"/>
  <c r="J43" i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J20" i="1"/>
  <c r="J21" i="1"/>
  <c r="J22" i="1"/>
  <c r="J23" i="1"/>
  <c r="J24" i="1"/>
  <c r="J25" i="1"/>
  <c r="M5" i="1"/>
  <c r="N5" i="1" s="1"/>
  <c r="M7" i="1"/>
  <c r="N7" i="1" s="1"/>
  <c r="M6" i="1"/>
  <c r="N6" i="1" s="1"/>
  <c r="M8" i="1"/>
  <c r="N8" i="1" s="1"/>
  <c r="M9" i="1"/>
  <c r="N9" i="1" s="1"/>
  <c r="G9" i="1"/>
  <c r="G5" i="1"/>
  <c r="G6" i="1"/>
  <c r="G7" i="1"/>
  <c r="G8" i="1"/>
  <c r="F14" i="4"/>
  <c r="F13" i="4"/>
  <c r="F11" i="4"/>
  <c r="F15" i="4"/>
  <c r="F16" i="4"/>
  <c r="F5" i="4"/>
  <c r="F12" i="4"/>
  <c r="F10" i="4"/>
  <c r="F9" i="4"/>
  <c r="F8" i="4"/>
  <c r="F7" i="4"/>
  <c r="F6" i="4"/>
  <c r="F4" i="4"/>
  <c r="F3" i="4"/>
</calcChain>
</file>

<file path=xl/sharedStrings.xml><?xml version="1.0" encoding="utf-8"?>
<sst xmlns="http://schemas.openxmlformats.org/spreadsheetml/2006/main" count="933" uniqueCount="217">
  <si>
    <t>Pisteet</t>
  </si>
  <si>
    <t>Nimi</t>
  </si>
  <si>
    <t>Seura</t>
  </si>
  <si>
    <t>Sijoitus</t>
  </si>
  <si>
    <t>Toivo Kyösti</t>
  </si>
  <si>
    <t>Himangan Urheilijat</t>
  </si>
  <si>
    <t>Sarja Miehet 8</t>
  </si>
  <si>
    <t>Verneri Hietala</t>
  </si>
  <si>
    <t>Kalajoen Junkkarit</t>
  </si>
  <si>
    <t>Aarne Ruusunen</t>
  </si>
  <si>
    <t>Veikko Aarnio</t>
  </si>
  <si>
    <t>Reisjärven Pilke</t>
  </si>
  <si>
    <t>Tilanne 29.1.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</si>
  <si>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</si>
  <si>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</si>
  <si>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</si>
  <si>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</si>
  <si>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</si>
  <si>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</si>
  <si>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</si>
  <si>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</si>
  <si>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</si>
  <si>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</si>
  <si>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</si>
  <si>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</si>
  <si>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</si>
  <si>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</si>
  <si>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</si>
  <si>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</si>
  <si>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</si>
  <si>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</si>
  <si>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</si>
  <si>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</si>
  <si>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</si>
  <si>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</si>
  <si>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</si>
  <si>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</si>
  <si>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</si>
  <si>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</si>
  <si>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</si>
  <si>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</si>
  <si>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</si>
  <si>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</si>
  <si>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Sievi normaalimatkat 28.1.</t>
  </si>
  <si>
    <t>Kokkola Sprintit 27.1.</t>
  </si>
  <si>
    <t>nimi</t>
  </si>
  <si>
    <t>seura</t>
  </si>
  <si>
    <t>sijoitus2</t>
  </si>
  <si>
    <t>Pisteet3</t>
  </si>
  <si>
    <t>Naiset 8</t>
  </si>
  <si>
    <t>Elli Pietikäinen</t>
  </si>
  <si>
    <t>Haapajärven Kiilat</t>
  </si>
  <si>
    <t xml:space="preserve">	Adessa Oja</t>
  </si>
  <si>
    <t>Sohvi Marjamaa</t>
  </si>
  <si>
    <t xml:space="preserve">	Venla Lassila</t>
  </si>
  <si>
    <t xml:space="preserve">	Vetelin Urheilijat</t>
  </si>
  <si>
    <t xml:space="preserve">Neea Hanni </t>
  </si>
  <si>
    <t>Kannuksen Ura</t>
  </si>
  <si>
    <t>Sijoitus2</t>
  </si>
  <si>
    <t>Nimi4</t>
  </si>
  <si>
    <t>Kokonaispisteet</t>
  </si>
  <si>
    <t>Miehet 10</t>
  </si>
  <si>
    <t>Pisteet2</t>
  </si>
  <si>
    <t>Eddi Pietilä</t>
  </si>
  <si>
    <t>Kokkolan Veikot</t>
  </si>
  <si>
    <t xml:space="preserve">	Emil Kähtävä</t>
  </si>
  <si>
    <t xml:space="preserve">	Alvar Junnikkala</t>
  </si>
  <si>
    <t xml:space="preserve">	Ylivieskan Kuula</t>
  </si>
  <si>
    <t>Oliver Huhtanen</t>
  </si>
  <si>
    <t>Nooa Hylkilä</t>
  </si>
  <si>
    <t>Elmeri Ojala</t>
  </si>
  <si>
    <t xml:space="preserve">	Leevi Lassila</t>
  </si>
  <si>
    <t xml:space="preserve">	Saku Kettu</t>
  </si>
  <si>
    <t xml:space="preserve">	Joonas Eemeli Vilu</t>
  </si>
  <si>
    <t xml:space="preserve">	Kalajoen Junkkarit</t>
  </si>
  <si>
    <t>Aatos Sikkilä</t>
  </si>
  <si>
    <t>Halti Heinonen</t>
  </si>
  <si>
    <t>Iisak Rautakoski</t>
  </si>
  <si>
    <t>nimi4</t>
  </si>
  <si>
    <t>Naiset 10</t>
  </si>
  <si>
    <t>Mette Haikara</t>
  </si>
  <si>
    <t xml:space="preserve">	Nelli Hyväluoma</t>
  </si>
  <si>
    <t>Vetelin Urheilijat</t>
  </si>
  <si>
    <t xml:space="preserve">	Milja Järvelä</t>
  </si>
  <si>
    <t xml:space="preserve">	Lotta Pietikäinen</t>
  </si>
  <si>
    <t xml:space="preserve">	Matilda Aarnio</t>
  </si>
  <si>
    <t xml:space="preserve">	Himangan Urheilijat</t>
  </si>
  <si>
    <t>Iida Lindell</t>
  </si>
  <si>
    <t>Elsa Laakkonen</t>
  </si>
  <si>
    <t xml:space="preserve">	Saana Suomu</t>
  </si>
  <si>
    <t xml:space="preserve">	Aana Oja</t>
  </si>
  <si>
    <t xml:space="preserve">	Nelli Hietala</t>
  </si>
  <si>
    <t xml:space="preserve">	Anniina Keltamäki</t>
  </si>
  <si>
    <t>Linnea Laitala</t>
  </si>
  <si>
    <t>Halsuan Toivo</t>
  </si>
  <si>
    <t xml:space="preserve">	Tuua Koskela</t>
  </si>
  <si>
    <t>Aino Elisabet Karsikas</t>
  </si>
  <si>
    <t xml:space="preserve">Nivalan Urheilijat </t>
  </si>
  <si>
    <t>Isla Savelainen</t>
  </si>
  <si>
    <t>Fiia Myllylahti</t>
  </si>
  <si>
    <t>Ylivieskan Kuula</t>
  </si>
  <si>
    <t>Nimi2</t>
  </si>
  <si>
    <t>miehet 12</t>
  </si>
  <si>
    <t>Iivari Murto</t>
  </si>
  <si>
    <t xml:space="preserve">	Atte Kähtävä</t>
  </si>
  <si>
    <t>Kaapo Väisänen</t>
  </si>
  <si>
    <t xml:space="preserve">	Peetu Polet</t>
  </si>
  <si>
    <t>Amiel Lidsle</t>
  </si>
  <si>
    <t xml:space="preserve">	Leevi Lindell</t>
  </si>
  <si>
    <t>Aku Hylkilä</t>
  </si>
  <si>
    <t>Atso Oja</t>
  </si>
  <si>
    <t xml:space="preserve">Armas Einari Karsikas </t>
  </si>
  <si>
    <t>Nivalan Urheilijat</t>
  </si>
  <si>
    <t>Naiset 12</t>
  </si>
  <si>
    <t>Eeda Pietilä</t>
  </si>
  <si>
    <t xml:space="preserve">	Iida Koski-Vähälä</t>
  </si>
  <si>
    <t>Iida Harmaala</t>
  </si>
  <si>
    <t xml:space="preserve">	Haapajärven Kiilat</t>
  </si>
  <si>
    <t>Mona Haikara</t>
  </si>
  <si>
    <t xml:space="preserve">	Reisjärven Pilke</t>
  </si>
  <si>
    <t>Sanni Marjamaa</t>
  </si>
  <si>
    <t>Saaga Myllylahti</t>
  </si>
  <si>
    <t>Elsa Paavola</t>
  </si>
  <si>
    <t>Kaustisen Pohjan-Veikot</t>
  </si>
  <si>
    <t>Hilla Heinonen</t>
  </si>
  <si>
    <t>Miehet 13</t>
  </si>
  <si>
    <t>Oliver Rahja</t>
  </si>
  <si>
    <t xml:space="preserve">	Eino Kyösti</t>
  </si>
  <si>
    <t>Eemeli Aarnio</t>
  </si>
  <si>
    <t>Evald Peltola</t>
  </si>
  <si>
    <t>Mika Petteri Karsikas</t>
  </si>
  <si>
    <t>Naiset 13</t>
  </si>
  <si>
    <t>Essi Kola</t>
  </si>
  <si>
    <t xml:space="preserve">Kaustisen Pohjan-Veikot	</t>
  </si>
  <si>
    <t>Lilli Eerikäinen</t>
  </si>
  <si>
    <t>Ansa Kanala</t>
  </si>
  <si>
    <t>Nella Aho</t>
  </si>
  <si>
    <t xml:space="preserve">	Pinja Polet</t>
  </si>
  <si>
    <t>Miehet 14</t>
  </si>
  <si>
    <t>Mikael Ilmari Karsikas</t>
  </si>
  <si>
    <t>Naiset 14</t>
  </si>
  <si>
    <t>Alina Lidsle</t>
  </si>
  <si>
    <t xml:space="preserve">	Neea Murto</t>
  </si>
  <si>
    <t xml:space="preserve">	Siru Koskela</t>
  </si>
  <si>
    <t>Ella Pesola</t>
  </si>
  <si>
    <t>Ronja Aarnio</t>
  </si>
  <si>
    <t>Aada Junnikkala</t>
  </si>
  <si>
    <t>Miehet 15</t>
  </si>
  <si>
    <t>Ukko Järviluoma</t>
  </si>
  <si>
    <t>Paavo Kokkoniemi</t>
  </si>
  <si>
    <t>Toni Jääskeläinen</t>
  </si>
  <si>
    <t>Perhon Kiri</t>
  </si>
  <si>
    <t>Jaakko Vuotila</t>
  </si>
  <si>
    <t>Leo Rautio</t>
  </si>
  <si>
    <t>Roni Saarela</t>
  </si>
  <si>
    <t>Albert Viljamaa</t>
  </si>
  <si>
    <t xml:space="preserve">Sievin Sisu </t>
  </si>
  <si>
    <t>Naiset 15</t>
  </si>
  <si>
    <t>Emma Parkkila</t>
  </si>
  <si>
    <t>Mette Kanala</t>
  </si>
  <si>
    <t>Iida Paavola</t>
  </si>
  <si>
    <t>Senni Moilanen</t>
  </si>
  <si>
    <t>Siiri Paloranta</t>
  </si>
  <si>
    <t>Miehet 16</t>
  </si>
  <si>
    <t>Atte Huhtanen</t>
  </si>
  <si>
    <t>Naiset 16</t>
  </si>
  <si>
    <t>Laura Aho</t>
  </si>
  <si>
    <t>Alma Syrjä</t>
  </si>
  <si>
    <t>Kinnulan Kinuski Team</t>
  </si>
  <si>
    <t xml:space="preserve">	Iina Kiiskilä</t>
  </si>
  <si>
    <t>Tessa Herronen</t>
  </si>
  <si>
    <t>nimi2</t>
  </si>
  <si>
    <t>Kaustisen Pitkätmatkat 2.3.</t>
  </si>
  <si>
    <t>sijoitus3</t>
  </si>
  <si>
    <t>pisteet2</t>
  </si>
  <si>
    <t>pisteet3</t>
  </si>
  <si>
    <t>Martta Heikkilä</t>
  </si>
  <si>
    <t>Peetu Heikkilä</t>
  </si>
  <si>
    <t>Iivo Fränti</t>
  </si>
  <si>
    <t>Liina-Maija Hietala</t>
  </si>
  <si>
    <t>Lyyli Niinikoski</t>
  </si>
  <si>
    <t>Reisjärvi Yhteislähtö 25.2.</t>
  </si>
  <si>
    <t>nimi3</t>
  </si>
  <si>
    <t>sijoitus4</t>
  </si>
  <si>
    <t>pisteet4</t>
  </si>
  <si>
    <t>sijoitus Kp-cup</t>
  </si>
  <si>
    <t>kokonaispisteet</t>
  </si>
  <si>
    <t>Seurapisteet</t>
  </si>
  <si>
    <t>Henkilökohtaiset kokonaispisteet</t>
  </si>
  <si>
    <t>Seura pisteet</t>
  </si>
  <si>
    <t>Otso Lokkila</t>
  </si>
  <si>
    <t>nimi42</t>
  </si>
  <si>
    <t>Vilho Saari</t>
  </si>
  <si>
    <t>Niilo Lokkila</t>
  </si>
  <si>
    <t>Eino Kinnunen</t>
  </si>
  <si>
    <t>Seurat</t>
  </si>
  <si>
    <t>seurapisteet</t>
  </si>
  <si>
    <t>sijoitus</t>
  </si>
  <si>
    <t>Summa  / Seura pisteet</t>
  </si>
  <si>
    <t>Miehet 8</t>
  </si>
  <si>
    <t>Riviotsikot</t>
  </si>
  <si>
    <t>Kaikki yhteensä</t>
  </si>
  <si>
    <t>Summa  / Seurapisteet</t>
  </si>
  <si>
    <t>naiset 10</t>
  </si>
  <si>
    <t>naiset 12</t>
  </si>
  <si>
    <t>miehet 13</t>
  </si>
  <si>
    <t>naiset 13</t>
  </si>
  <si>
    <t>miehet 14</t>
  </si>
  <si>
    <t>naiset 14</t>
  </si>
  <si>
    <t>miehet 15</t>
  </si>
  <si>
    <t>naiset 15</t>
  </si>
  <si>
    <t>miehet 16</t>
  </si>
  <si>
    <t>naiset 16</t>
  </si>
  <si>
    <t>Sievin Sisu</t>
  </si>
  <si>
    <t>viestit</t>
  </si>
  <si>
    <t>Seurojen Loppupisteet</t>
  </si>
  <si>
    <t>Henkilökohtaisten matkojen pisteet seuroille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</si>
</sst>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pivotButton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ali" xfId="0" builtinId="0"/>
  </cellStyles>
  <dxfs count="170"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5.xml"/><Relationship Id="rId13" Type="http://schemas.openxmlformats.org/officeDocument/2006/relationships/pivotCacheDefinition" Target="pivotCache/pivotCacheDefinition10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pivotCacheDefinition" Target="pivotCache/pivotCacheDefinition4.xml"/><Relationship Id="rId12" Type="http://schemas.openxmlformats.org/officeDocument/2006/relationships/pivotCacheDefinition" Target="pivotCache/pivotCacheDefinition9.xml"/><Relationship Id="rId17" Type="http://schemas.openxmlformats.org/officeDocument/2006/relationships/pivotCacheDefinition" Target="pivotCache/pivotCacheDefinition14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11" Type="http://schemas.openxmlformats.org/officeDocument/2006/relationships/pivotCacheDefinition" Target="pivotCache/pivotCacheDefinition8.xml"/><Relationship Id="rId5" Type="http://schemas.openxmlformats.org/officeDocument/2006/relationships/pivotCacheDefinition" Target="pivotCache/pivotCacheDefinition2.xml"/><Relationship Id="rId15" Type="http://schemas.openxmlformats.org/officeDocument/2006/relationships/pivotCacheDefinition" Target="pivotCache/pivotCacheDefinition12.xml"/><Relationship Id="rId10" Type="http://schemas.openxmlformats.org/officeDocument/2006/relationships/pivotCacheDefinition" Target="pivotCache/pivotCacheDefinition7.xml"/><Relationship Id="rId19" Type="http://schemas.openxmlformats.org/officeDocument/2006/relationships/styles" Target="styles.xml"/><Relationship Id="rId4" Type="http://schemas.openxmlformats.org/officeDocument/2006/relationships/pivotCacheDefinition" Target="pivotCache/pivotCacheDefinition1.xml"/><Relationship Id="rId9" Type="http://schemas.openxmlformats.org/officeDocument/2006/relationships/pivotCacheDefinition" Target="pivotCache/pivotCacheDefinition6.xml"/><Relationship Id="rId14" Type="http://schemas.openxmlformats.org/officeDocument/2006/relationships/pivotCacheDefinition" Target="pivotCache/pivotCacheDefinition1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10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0.xml"/></Relationships>
</file>

<file path=xl/pivotCache/_rels/pivotCacheDefinition1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1.xml"/></Relationships>
</file>

<file path=xl/pivotCache/_rels/pivotCacheDefinition1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2.xml"/></Relationships>
</file>

<file path=xl/pivotCache/_rels/pivotCacheDefinition1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3.xml"/></Relationships>
</file>

<file path=xl/pivotCache/_rels/pivotCacheDefinition1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4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8.xml"/></Relationships>
</file>

<file path=xl/pivotCache/_rels/pivotCacheDefinition9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emil Parkkila" refreshedDate="45389.969461921297" createdVersion="8" refreshedVersion="8" minRefreshableVersion="3" recordCount="5" xr:uid="{84D1029C-8480-4600-B02B-5F3960D92D5B}">
  <cacheSource type="worksheet">
    <worksheetSource name="Taulukko2"/>
  </cacheSource>
  <cacheFields count="15">
    <cacheField name="nimi" numFmtId="0">
      <sharedItems/>
    </cacheField>
    <cacheField name="seura" numFmtId="0">
      <sharedItems count="3">
        <s v="Himangan Urheilijat"/>
        <s v="Kalajoen Junkkarit"/>
        <s v="Reisjärven Pilke"/>
      </sharedItems>
    </cacheField>
    <cacheField name="Sijoitus" numFmtId="0">
      <sharedItems containsBlank="1"/>
    </cacheField>
    <cacheField name="Pisteet" numFmtId="0">
      <sharedItems containsSemiMixedTypes="0" containsString="0" containsNumber="1" containsInteger="1" minValue="0" maxValue="100"/>
    </cacheField>
    <cacheField name="sijoitus2" numFmtId="0">
      <sharedItems containsBlank="1" count="4">
        <s v="1."/>
        <s v="2."/>
        <s v="3."/>
        <m/>
      </sharedItems>
    </cacheField>
    <cacheField name="Pisteet3" numFmtId="0">
      <sharedItems containsSemiMixedTypes="0" containsString="0" containsNumber="1" containsInteger="1" minValue="0" maxValue="100"/>
    </cacheField>
    <cacheField name="nimi2" numFmtId="0">
      <sharedItems/>
    </cacheField>
    <cacheField name="sijoitus3" numFmtId="0">
      <sharedItems containsBlank="1"/>
    </cacheField>
    <cacheField name="pisteet2" numFmtId="0">
      <sharedItems containsSemiMixedTypes="0" containsString="0" containsNumber="1" containsInteger="1" minValue="0" maxValue="100"/>
    </cacheField>
    <cacheField name="nimi3" numFmtId="0">
      <sharedItems/>
    </cacheField>
    <cacheField name="sijoitus4" numFmtId="0">
      <sharedItems containsString="0" containsBlank="1" containsNumber="1" containsInteger="1" minValue="1" maxValue="3"/>
    </cacheField>
    <cacheField name="pisteet4" numFmtId="0">
      <sharedItems containsSemiMixedTypes="0" containsString="0" containsNumber="1" containsInteger="1" minValue="0" maxValue="100"/>
    </cacheField>
    <cacheField name="Seura pisteet" numFmtId="0">
      <sharedItems containsSemiMixedTypes="0" containsString="0" containsNumber="1" containsInteger="1" minValue="60" maxValue="380"/>
    </cacheField>
    <cacheField name="Henkilökohtaiset kokonaispisteet" numFmtId="0">
      <sharedItems containsSemiMixedTypes="0" containsString="0" containsNumber="1" containsInteger="1" minValue="60" maxValue="300"/>
    </cacheField>
    <cacheField name="sijoitus Kp-cup" numFmtId="0">
      <sharedItems containsSemiMixedTypes="0" containsString="0" containsNumber="1" containsInteger="1" minValue="1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emil Parkkila" refreshedDate="45389.978997800928" createdVersion="8" refreshedVersion="8" minRefreshableVersion="3" recordCount="6" xr:uid="{56D6795E-5A95-4BCB-BF33-9202AF4DB8CD}">
  <cacheSource type="worksheet">
    <worksheetSource name="Taulukko15"/>
  </cacheSource>
  <cacheFields count="15">
    <cacheField name="Nimi" numFmtId="0">
      <sharedItems/>
    </cacheField>
    <cacheField name="Seura" numFmtId="0">
      <sharedItems count="6">
        <s v="Kokkolan Veikot"/>
        <s v="Haapajärven Kiilat"/>
        <s v="Halsuan Toivo"/>
        <s v="_x0009_Himangan Urheilijat"/>
        <s v="Kaustisen Pohjan-Veikot"/>
        <s v="Kalajoen Junkkarit"/>
      </sharedItems>
    </cacheField>
    <cacheField name="Sijoitus" numFmtId="0">
      <sharedItems containsBlank="1"/>
    </cacheField>
    <cacheField name="Pisteet" numFmtId="0">
      <sharedItems containsSemiMixedTypes="0" containsString="0" containsNumber="1" containsInteger="1" minValue="0" maxValue="100"/>
    </cacheField>
    <cacheField name="Sijoitus2" numFmtId="0">
      <sharedItems/>
    </cacheField>
    <cacheField name="Pisteet2" numFmtId="0">
      <sharedItems containsSemiMixedTypes="0" containsString="0" containsNumber="1" containsInteger="1" minValue="40" maxValue="100"/>
    </cacheField>
    <cacheField name="Nimi2" numFmtId="0">
      <sharedItems/>
    </cacheField>
    <cacheField name="sijoitus3" numFmtId="0">
      <sharedItems containsString="0" containsBlank="1" containsNumber="1" containsInteger="1" minValue="1" maxValue="5"/>
    </cacheField>
    <cacheField name="pisteet3" numFmtId="0">
      <sharedItems containsSemiMixedTypes="0" containsString="0" containsNumber="1" containsInteger="1" minValue="0" maxValue="100"/>
    </cacheField>
    <cacheField name="nimi4" numFmtId="0">
      <sharedItems/>
    </cacheField>
    <cacheField name="sijoitus4" numFmtId="0">
      <sharedItems containsString="0" containsBlank="1" containsNumber="1" containsInteger="1" minValue="1" maxValue="4"/>
    </cacheField>
    <cacheField name="pisteet4" numFmtId="0">
      <sharedItems containsSemiMixedTypes="0" containsString="0" containsNumber="1" containsInteger="1" minValue="0" maxValue="100"/>
    </cacheField>
    <cacheField name="Seurapisteet" numFmtId="0">
      <sharedItems containsSemiMixedTypes="0" containsString="0" containsNumber="1" containsInteger="1" minValue="40" maxValue="320"/>
    </cacheField>
    <cacheField name="Henkilökohtaiset kokonaispisteet" numFmtId="0">
      <sharedItems containsSemiMixedTypes="0" containsString="0" containsNumber="1" containsInteger="1" minValue="40" maxValue="260"/>
    </cacheField>
    <cacheField name="sijoitus Kp-cup" numFmtId="0">
      <sharedItems containsSemiMixedTypes="0" containsString="0" containsNumber="1" containsInteger="1" minValue="1" maxValue="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emil Parkkila" refreshedDate="45389.979321412036" createdVersion="8" refreshedVersion="8" minRefreshableVersion="3" recordCount="7" xr:uid="{3DD05C32-09A8-48B2-B629-A30DD3AD7466}">
  <cacheSource type="worksheet">
    <worksheetSource name="Taulukko16"/>
  </cacheSource>
  <cacheFields count="15">
    <cacheField name="Nimi" numFmtId="0">
      <sharedItems/>
    </cacheField>
    <cacheField name="Seura" numFmtId="0">
      <sharedItems count="7">
        <s v="Nivalan Urheilijat"/>
        <s v="_x0009_Haapajärven Kiilat"/>
        <s v="Perhon Kiri"/>
        <s v="Kokkolan Veikot"/>
        <s v="Himangan Urheilijat"/>
        <s v="Reisjärven Pilke"/>
        <s v="Sievin Sisu "/>
      </sharedItems>
    </cacheField>
    <cacheField name="Sijoitus" numFmtId="0">
      <sharedItems containsBlank="1"/>
    </cacheField>
    <cacheField name="Pisteet" numFmtId="0">
      <sharedItems containsSemiMixedTypes="0" containsString="0" containsNumber="1" containsInteger="1" minValue="0" maxValue="100"/>
    </cacheField>
    <cacheField name="Sijoitus2" numFmtId="0">
      <sharedItems/>
    </cacheField>
    <cacheField name="Pisteet2" numFmtId="0">
      <sharedItems containsSemiMixedTypes="0" containsString="0" containsNumber="1" containsInteger="1" minValue="36" maxValue="100"/>
    </cacheField>
    <cacheField name="Nimi2" numFmtId="0">
      <sharedItems/>
    </cacheField>
    <cacheField name="sijoitus3" numFmtId="0">
      <sharedItems containsString="0" containsBlank="1" containsNumber="1" containsInteger="1" minValue="1" maxValue="3"/>
    </cacheField>
    <cacheField name="pisteet3" numFmtId="0">
      <sharedItems containsSemiMixedTypes="0" containsString="0" containsNumber="1" containsInteger="1" minValue="0" maxValue="100"/>
    </cacheField>
    <cacheField name="nimi4" numFmtId="0">
      <sharedItems/>
    </cacheField>
    <cacheField name="sijoitus4" numFmtId="0">
      <sharedItems containsString="0" containsBlank="1" containsNumber="1" containsInteger="1" minValue="1" maxValue="3"/>
    </cacheField>
    <cacheField name="pisteet4" numFmtId="0">
      <sharedItems containsSemiMixedTypes="0" containsString="0" containsNumber="1" containsInteger="1" minValue="0" maxValue="100"/>
    </cacheField>
    <cacheField name="Seurapisteet" numFmtId="0">
      <sharedItems containsSemiMixedTypes="0" containsString="0" containsNumber="1" containsInteger="1" minValue="60" maxValue="380"/>
    </cacheField>
    <cacheField name="Henkilökohtaiset kokonaispisteet" numFmtId="0">
      <sharedItems containsSemiMixedTypes="0" containsString="0" containsNumber="1" containsInteger="1" minValue="60" maxValue="300"/>
    </cacheField>
    <cacheField name="sijoitus Kp-cup" numFmtId="0">
      <sharedItems containsSemiMixedTypes="0" containsString="0" containsNumber="1" containsInteger="1" minValue="1" maxValue="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emil Parkkila" refreshedDate="45389.979575694444" createdVersion="8" refreshedVersion="8" minRefreshableVersion="3" recordCount="7" xr:uid="{254B544F-FB77-428A-B0E2-6B907FFFF2C1}">
  <cacheSource type="worksheet">
    <worksheetSource name="Taulukko17"/>
  </cacheSource>
  <cacheFields count="15">
    <cacheField name="Nimi" numFmtId="0">
      <sharedItems/>
    </cacheField>
    <cacheField name="Seura" numFmtId="0">
      <sharedItems count="6">
        <s v="Haapajärven Kiilat"/>
        <s v="Halsuan Toivo"/>
        <s v="Kaustisen Pohjan-Veikot"/>
        <s v="Ylivieskan Kuula"/>
        <s v="Reisjärven Pilke"/>
        <s v="Kokkolan Veikot"/>
      </sharedItems>
    </cacheField>
    <cacheField name="Sijoitus" numFmtId="0">
      <sharedItems containsBlank="1"/>
    </cacheField>
    <cacheField name="Pisteet" numFmtId="0">
      <sharedItems containsSemiMixedTypes="0" containsString="0" containsNumber="1" containsInteger="1" minValue="0" maxValue="100"/>
    </cacheField>
    <cacheField name="Sijoitus2" numFmtId="0">
      <sharedItems containsBlank="1"/>
    </cacheField>
    <cacheField name="Pisteet2" numFmtId="0">
      <sharedItems containsSemiMixedTypes="0" containsString="0" containsNumber="1" containsInteger="1" minValue="0" maxValue="100"/>
    </cacheField>
    <cacheField name="Nimi2" numFmtId="0">
      <sharedItems/>
    </cacheField>
    <cacheField name="sijoitus3" numFmtId="0">
      <sharedItems containsString="0" containsBlank="1" containsNumber="1" containsInteger="1" minValue="1" maxValue="4"/>
    </cacheField>
    <cacheField name="pisteet3" numFmtId="0">
      <sharedItems containsSemiMixedTypes="0" containsString="0" containsNumber="1" containsInteger="1" minValue="0" maxValue="100"/>
    </cacheField>
    <cacheField name="nimi4" numFmtId="0">
      <sharedItems/>
    </cacheField>
    <cacheField name="sijoitus4" numFmtId="0">
      <sharedItems containsString="0" containsBlank="1" containsNumber="1" containsInteger="1" minValue="1" maxValue="5"/>
    </cacheField>
    <cacheField name="pisteet4" numFmtId="0">
      <sharedItems containsSemiMixedTypes="0" containsString="0" containsNumber="1" containsInteger="1" minValue="0" maxValue="100"/>
    </cacheField>
    <cacheField name="Seurapisteet" numFmtId="0">
      <sharedItems containsSemiMixedTypes="0" containsString="0" containsNumber="1" containsInteger="1" minValue="50" maxValue="280"/>
    </cacheField>
    <cacheField name="Henkilökohtaiset kokonaispisteet" numFmtId="0">
      <sharedItems containsSemiMixedTypes="0" containsString="0" containsNumber="1" containsInteger="1" minValue="50" maxValue="280"/>
    </cacheField>
    <cacheField name="sijoitus Kp-cup" numFmtId="0">
      <sharedItems containsSemiMixedTypes="0" containsString="0" containsNumber="1" containsInteger="1" minValue="1" maxValue="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emil Parkkila" refreshedDate="45389.979841666667" createdVersion="8" refreshedVersion="8" minRefreshableVersion="3" recordCount="1" xr:uid="{3CC90D49-32DA-4F18-97A4-6C0AB5CD967D}">
  <cacheSource type="worksheet">
    <worksheetSource name="Taulukko18"/>
  </cacheSource>
  <cacheFields count="15">
    <cacheField name="Nimi" numFmtId="0">
      <sharedItems/>
    </cacheField>
    <cacheField name="Seura" numFmtId="0">
      <sharedItems count="1">
        <s v="Ylivieskan Kuula"/>
      </sharedItems>
    </cacheField>
    <cacheField name="Sijoitus" numFmtId="0">
      <sharedItems/>
    </cacheField>
    <cacheField name="Pisteet" numFmtId="0">
      <sharedItems containsSemiMixedTypes="0" containsString="0" containsNumber="1" containsInteger="1" minValue="100" maxValue="100"/>
    </cacheField>
    <cacheField name="Sijoitus2" numFmtId="0">
      <sharedItems/>
    </cacheField>
    <cacheField name="Pisteet2" numFmtId="0">
      <sharedItems containsSemiMixedTypes="0" containsString="0" containsNumber="1" containsInteger="1" minValue="100" maxValue="100"/>
    </cacheField>
    <cacheField name="Nimi2" numFmtId="0">
      <sharedItems/>
    </cacheField>
    <cacheField name="sijoitus3" numFmtId="0">
      <sharedItems containsSemiMixedTypes="0" containsString="0" containsNumber="1" containsInteger="1" minValue="1" maxValue="1"/>
    </cacheField>
    <cacheField name="pisteet3" numFmtId="0">
      <sharedItems containsSemiMixedTypes="0" containsString="0" containsNumber="1" containsInteger="1" minValue="100" maxValue="100"/>
    </cacheField>
    <cacheField name="nimi4" numFmtId="0">
      <sharedItems/>
    </cacheField>
    <cacheField name="sijoitus4" numFmtId="0">
      <sharedItems containsSemiMixedTypes="0" containsString="0" containsNumber="1" containsInteger="1" minValue="1" maxValue="1"/>
    </cacheField>
    <cacheField name="pisteet4" numFmtId="0">
      <sharedItems containsSemiMixedTypes="0" containsString="0" containsNumber="1" containsInteger="1" minValue="100" maxValue="100"/>
    </cacheField>
    <cacheField name="Seurapisteet" numFmtId="0">
      <sharedItems containsSemiMixedTypes="0" containsString="0" containsNumber="1" containsInteger="1" minValue="400" maxValue="400"/>
    </cacheField>
    <cacheField name="Henkilökohtaiset kokonaispisteet" numFmtId="0">
      <sharedItems containsSemiMixedTypes="0" containsString="0" containsNumber="1" containsInteger="1" minValue="300" maxValue="300"/>
    </cacheField>
    <cacheField name="sijoitus Kp-cup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emil Parkkila" refreshedDate="45389.980136805556" createdVersion="8" refreshedVersion="8" minRefreshableVersion="3" recordCount="4" xr:uid="{4CE5EAEF-FA35-4967-8DEC-E423A5B33428}">
  <cacheSource type="worksheet">
    <worksheetSource name="Taulukko19"/>
  </cacheSource>
  <cacheFields count="15">
    <cacheField name="Nimi" numFmtId="0">
      <sharedItems/>
    </cacheField>
    <cacheField name="Seura" numFmtId="0">
      <sharedItems count="3">
        <s v="Reisjärven Pilke"/>
        <s v="Kinnulan Kinuski Team"/>
        <s v="Kokkolan Veikot"/>
      </sharedItems>
    </cacheField>
    <cacheField name="Sijoitus" numFmtId="0">
      <sharedItems containsBlank="1"/>
    </cacheField>
    <cacheField name="Pisteet" numFmtId="0">
      <sharedItems containsSemiMixedTypes="0" containsString="0" containsNumber="1" containsInteger="1" minValue="0" maxValue="100"/>
    </cacheField>
    <cacheField name="Sijoitus2" numFmtId="0">
      <sharedItems/>
    </cacheField>
    <cacheField name="Pisteet2" numFmtId="0">
      <sharedItems containsSemiMixedTypes="0" containsString="0" containsNumber="1" containsInteger="1" minValue="50" maxValue="100"/>
    </cacheField>
    <cacheField name="Nimi2" numFmtId="0">
      <sharedItems/>
    </cacheField>
    <cacheField name="sijoitus3" numFmtId="0">
      <sharedItems containsString="0" containsBlank="1" containsNumber="1" containsInteger="1" minValue="1" maxValue="3"/>
    </cacheField>
    <cacheField name="pisteet3" numFmtId="0">
      <sharedItems containsSemiMixedTypes="0" containsString="0" containsNumber="1" containsInteger="1" minValue="0" maxValue="100"/>
    </cacheField>
    <cacheField name="nimi4" numFmtId="0">
      <sharedItems/>
    </cacheField>
    <cacheField name="sijoitus4" numFmtId="0">
      <sharedItems containsString="0" containsBlank="1" containsNumber="1" containsInteger="1" minValue="1" maxValue="2"/>
    </cacheField>
    <cacheField name="pisteet4" numFmtId="0">
      <sharedItems containsSemiMixedTypes="0" containsString="0" containsNumber="1" containsInteger="1" minValue="0" maxValue="100"/>
    </cacheField>
    <cacheField name="Seurapisteet" numFmtId="0">
      <sharedItems containsSemiMixedTypes="0" containsString="0" containsNumber="1" containsInteger="1" minValue="80" maxValue="400"/>
    </cacheField>
    <cacheField name="Henkilökohtaiset kokonaispisteet" numFmtId="0">
      <sharedItems containsSemiMixedTypes="0" containsString="0" containsNumber="1" containsInteger="1" minValue="80" maxValue="300"/>
    </cacheField>
    <cacheField name="sijoitus Kp-cup" numFmtId="0">
      <sharedItems containsSemiMixedTypes="0" containsString="0" containsNumber="1" containsInteger="1" minValue="1" maxValue="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emil Parkkila" refreshedDate="45389.971257870369" createdVersion="8" refreshedVersion="8" minRefreshableVersion="3" recordCount="6" xr:uid="{9A48CD29-946C-4E23-A10D-15CC2E6E66C8}">
  <cacheSource type="worksheet">
    <worksheetSource name="Taulukko3"/>
  </cacheSource>
  <cacheFields count="15">
    <cacheField name="Nimi" numFmtId="0">
      <sharedItems/>
    </cacheField>
    <cacheField name="Seura" numFmtId="0">
      <sharedItems count="5">
        <s v="Himangan Urheilijat"/>
        <s v="Haapajärven Kiilat"/>
        <s v="Reisjärven Pilke"/>
        <s v="_x0009_Vetelin Urheilijat"/>
        <s v="Kannuksen Ura"/>
      </sharedItems>
    </cacheField>
    <cacheField name="Sijoitus" numFmtId="0">
      <sharedItems containsBlank="1"/>
    </cacheField>
    <cacheField name="Pisteet" numFmtId="0">
      <sharedItems containsSemiMixedTypes="0" containsString="0" containsNumber="1" containsInteger="1" minValue="0" maxValue="100"/>
    </cacheField>
    <cacheField name="Sijoitus2" numFmtId="0">
      <sharedItems containsBlank="1"/>
    </cacheField>
    <cacheField name="Pisteet2" numFmtId="0">
      <sharedItems containsSemiMixedTypes="0" containsString="0" containsNumber="1" containsInteger="1" minValue="0" maxValue="100"/>
    </cacheField>
    <cacheField name="Nimi4" numFmtId="0">
      <sharedItems/>
    </cacheField>
    <cacheField name="sijoitus3" numFmtId="0">
      <sharedItems containsString="0" containsBlank="1" containsNumber="1" containsInteger="1" minValue="1" maxValue="4"/>
    </cacheField>
    <cacheField name="pisteet3" numFmtId="0">
      <sharedItems containsSemiMixedTypes="0" containsString="0" containsNumber="1" containsInteger="1" minValue="0" maxValue="100"/>
    </cacheField>
    <cacheField name="nimi42" numFmtId="0">
      <sharedItems/>
    </cacheField>
    <cacheField name="sijoitus4" numFmtId="0">
      <sharedItems containsString="0" containsBlank="1" containsNumber="1" containsInteger="1" minValue="1" maxValue="3"/>
    </cacheField>
    <cacheField name="pisteet4" numFmtId="0">
      <sharedItems containsSemiMixedTypes="0" containsString="0" containsNumber="1" containsInteger="1" minValue="0" maxValue="100"/>
    </cacheField>
    <cacheField name="Seurapisteet" numFmtId="0">
      <sharedItems containsSemiMixedTypes="0" containsString="0" containsNumber="1" containsInteger="1" minValue="50" maxValue="320"/>
    </cacheField>
    <cacheField name="Henkilökohtaiset kokonaispisteet" numFmtId="0">
      <sharedItems containsSemiMixedTypes="0" containsString="0" containsNumber="1" containsInteger="1" minValue="50" maxValue="280"/>
    </cacheField>
    <cacheField name="sijoitus Kp-cup" numFmtId="0">
      <sharedItems containsSemiMixedTypes="0" containsString="0" containsNumber="1" containsInteger="1" minValue="1" maxValue="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emil Parkkila" refreshedDate="45389.975016319448" createdVersion="8" refreshedVersion="8" minRefreshableVersion="3" recordCount="14" xr:uid="{1FE42BB3-1A49-4CC3-939B-3B9D323EF0C6}">
  <cacheSource type="worksheet">
    <worksheetSource name="Taulukko6"/>
  </cacheSource>
  <cacheFields count="15">
    <cacheField name="Nimi" numFmtId="0">
      <sharedItems/>
    </cacheField>
    <cacheField name="Seura" numFmtId="0">
      <sharedItems count="7">
        <s v="Kokkolan Veikot"/>
        <s v="Kalajoen Junkkarit"/>
        <s v="Reisjärven Pilke"/>
        <s v="_x0009_Ylivieskan Kuula"/>
        <s v="_x0009_Vetelin Urheilijat"/>
        <s v="Ylivieskan Kuula"/>
        <s v="Himangan Urheilijat"/>
      </sharedItems>
    </cacheField>
    <cacheField name="Sijoitus" numFmtId="0">
      <sharedItems containsBlank="1"/>
    </cacheField>
    <cacheField name="Pisteet" numFmtId="0">
      <sharedItems containsSemiMixedTypes="0" containsString="0" containsNumber="1" containsInteger="1" minValue="0" maxValue="100"/>
    </cacheField>
    <cacheField name="Sijoitus2" numFmtId="0">
      <sharedItems containsBlank="1"/>
    </cacheField>
    <cacheField name="Pisteet2" numFmtId="0">
      <sharedItems containsSemiMixedTypes="0" containsString="0" containsNumber="1" containsInteger="1" minValue="0" maxValue="100"/>
    </cacheField>
    <cacheField name="nimi4" numFmtId="0">
      <sharedItems/>
    </cacheField>
    <cacheField name="sijoitus3" numFmtId="0">
      <sharedItems containsString="0" containsBlank="1" containsNumber="1" containsInteger="1" minValue="1" maxValue="6"/>
    </cacheField>
    <cacheField name="pisteet3" numFmtId="0">
      <sharedItems containsSemiMixedTypes="0" containsString="0" containsNumber="1" containsInteger="1" minValue="0" maxValue="100"/>
    </cacheField>
    <cacheField name="nimi42" numFmtId="0">
      <sharedItems/>
    </cacheField>
    <cacheField name="sijoitus4" numFmtId="0">
      <sharedItems containsString="0" containsBlank="1" containsNumber="1" containsInteger="1" minValue="1" maxValue="5"/>
    </cacheField>
    <cacheField name="pisteet4" numFmtId="0">
      <sharedItems containsSemiMixedTypes="0" containsString="0" containsNumber="1" containsInteger="1" minValue="0" maxValue="100"/>
    </cacheField>
    <cacheField name="Seurapisteet" numFmtId="0">
      <sharedItems containsSemiMixedTypes="0" containsString="0" containsNumber="1" containsInteger="1" minValue="29" maxValue="300"/>
    </cacheField>
    <cacheField name="Henkilökohtaiset kokonaispisteet" numFmtId="0">
      <sharedItems containsSemiMixedTypes="0" containsString="0" containsNumber="1" containsInteger="1" minValue="29" maxValue="300"/>
    </cacheField>
    <cacheField name="sijoitus Kp-cup" numFmtId="0">
      <sharedItems containsSemiMixedTypes="0" containsString="0" containsNumber="1" containsInteger="1" minValue="1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emil Parkkila" refreshedDate="45389.976600694441" createdVersion="8" refreshedVersion="8" minRefreshableVersion="3" recordCount="16" xr:uid="{CF97E5AF-D392-4EF1-AB16-F453F43D3CD4}">
  <cacheSource type="worksheet">
    <worksheetSource name="Taulukko11"/>
  </cacheSource>
  <cacheFields count="15">
    <cacheField name="Nimi" numFmtId="0">
      <sharedItems/>
    </cacheField>
    <cacheField name="Seura" numFmtId="0">
      <sharedItems count="9">
        <s v="Reisjärven Pilke"/>
        <s v="Vetelin Urheilijat"/>
        <s v="Haapajärven Kiilat"/>
        <s v="_x0009_Himangan Urheilijat"/>
        <s v="Kokkolan Veikot"/>
        <s v="Nivalan Urheilijat "/>
        <s v="_x0009_Kalajoen Junkkarit"/>
        <s v="Ylivieskan Kuula"/>
        <s v="Halsuan Toivo"/>
      </sharedItems>
    </cacheField>
    <cacheField name="Sijoitus" numFmtId="0">
      <sharedItems containsBlank="1"/>
    </cacheField>
    <cacheField name="Pisteet" numFmtId="0">
      <sharedItems containsSemiMixedTypes="0" containsString="0" containsNumber="1" containsInteger="1" minValue="0" maxValue="100"/>
    </cacheField>
    <cacheField name="Sijoitus2" numFmtId="0">
      <sharedItems containsBlank="1"/>
    </cacheField>
    <cacheField name="Pisteet2" numFmtId="0">
      <sharedItems containsSemiMixedTypes="0" containsString="0" containsNumber="1" containsInteger="1" minValue="0" maxValue="100"/>
    </cacheField>
    <cacheField name="Nimi2" numFmtId="0">
      <sharedItems/>
    </cacheField>
    <cacheField name="sijoitus3" numFmtId="0">
      <sharedItems containsString="0" containsBlank="1" containsNumber="1" containsInteger="1" minValue="1" maxValue="9"/>
    </cacheField>
    <cacheField name="pisteet3" numFmtId="0">
      <sharedItems containsSemiMixedTypes="0" containsString="0" containsNumber="1" containsInteger="1" minValue="0" maxValue="100"/>
    </cacheField>
    <cacheField name="nimi4" numFmtId="0">
      <sharedItems/>
    </cacheField>
    <cacheField name="sijoitus4" numFmtId="0">
      <sharedItems containsString="0" containsBlank="1" containsNumber="1" containsInteger="1" minValue="1" maxValue="9"/>
    </cacheField>
    <cacheField name="pisteet4" numFmtId="0">
      <sharedItems containsSemiMixedTypes="0" containsString="0" containsNumber="1" containsInteger="1" minValue="0" maxValue="100"/>
    </cacheField>
    <cacheField name="Seurapisteet" numFmtId="0">
      <sharedItems containsSemiMixedTypes="0" containsString="0" containsNumber="1" containsInteger="1" minValue="20" maxValue="380"/>
    </cacheField>
    <cacheField name="Henkilökohtaiset kokonaispisteet" numFmtId="0">
      <sharedItems containsSemiMixedTypes="0" containsString="0" containsNumber="1" containsInteger="1" minValue="20" maxValue="300"/>
    </cacheField>
    <cacheField name="sijoitus Kp-cup" numFmtId="0">
      <sharedItems containsSemiMixedTypes="0" containsString="0" containsNumber="1" containsInteger="1" minValue="1" maxValue="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emil Parkkila" refreshedDate="45389.977060763886" createdVersion="8" refreshedVersion="8" minRefreshableVersion="3" recordCount="11" xr:uid="{E682D0BE-2B24-4E7A-8475-7AFB968D25D7}">
  <cacheSource type="worksheet">
    <worksheetSource name="Taulukko4"/>
  </cacheSource>
  <cacheFields count="15">
    <cacheField name="Nimi" numFmtId="0">
      <sharedItems/>
    </cacheField>
    <cacheField name="Seura" numFmtId="0">
      <sharedItems count="6">
        <s v="Kalajoen Junkkarit"/>
        <s v="Haapajärven Kiilat"/>
        <s v="Kokkolan Veikot"/>
        <s v="Nivalan Urheilijat"/>
        <s v="Himangan Urheilijat"/>
        <s v="Reisjärven Pilke"/>
      </sharedItems>
    </cacheField>
    <cacheField name="Sijoitus" numFmtId="0">
      <sharedItems containsBlank="1"/>
    </cacheField>
    <cacheField name="Pisteet" numFmtId="0">
      <sharedItems containsSemiMixedTypes="0" containsString="0" containsNumber="1" containsInteger="1" minValue="0" maxValue="100"/>
    </cacheField>
    <cacheField name="Sijoitus2" numFmtId="0">
      <sharedItems containsBlank="1"/>
    </cacheField>
    <cacheField name="Pisteet2" numFmtId="0">
      <sharedItems containsSemiMixedTypes="0" containsString="0" containsNumber="1" containsInteger="1" minValue="0" maxValue="100"/>
    </cacheField>
    <cacheField name="Nimi2" numFmtId="0">
      <sharedItems containsBlank="1"/>
    </cacheField>
    <cacheField name="sijoitus3" numFmtId="0">
      <sharedItems containsString="0" containsBlank="1" containsNumber="1" containsInteger="1" minValue="1" maxValue="7"/>
    </cacheField>
    <cacheField name="pisteet3" numFmtId="0">
      <sharedItems containsSemiMixedTypes="0" containsString="0" containsNumber="1" containsInteger="1" minValue="0" maxValue="100"/>
    </cacheField>
    <cacheField name="nimi4" numFmtId="0">
      <sharedItems/>
    </cacheField>
    <cacheField name="sijoitus4" numFmtId="0">
      <sharedItems containsString="0" containsBlank="1" containsNumber="1" containsInteger="1" minValue="1" maxValue="7"/>
    </cacheField>
    <cacheField name="pisteet4" numFmtId="0">
      <sharedItems containsSemiMixedTypes="0" containsString="0" containsNumber="1" containsInteger="1" minValue="0" maxValue="100"/>
    </cacheField>
    <cacheField name="Seurapisteet" numFmtId="0">
      <sharedItems containsSemiMixedTypes="0" containsString="0" containsNumber="1" containsInteger="1" minValue="36" maxValue="360"/>
    </cacheField>
    <cacheField name="Henkilökohtaiset kokonaispisteet" numFmtId="0">
      <sharedItems containsSemiMixedTypes="0" containsString="0" containsNumber="1" containsInteger="1" minValue="36" maxValue="280"/>
    </cacheField>
    <cacheField name="sijoitus Kp-cup" numFmtId="0">
      <sharedItems containsSemiMixedTypes="0" containsString="0" containsNumber="1" containsInteger="1" minValue="1" maxValue="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emil Parkkila" refreshedDate="45389.977385763887" createdVersion="8" refreshedVersion="8" minRefreshableVersion="3" recordCount="8" xr:uid="{72B36968-D7D5-4502-ABF9-928C0458681F}">
  <cacheSource type="worksheet">
    <worksheetSource name="Taulukko8"/>
  </cacheSource>
  <cacheFields count="15">
    <cacheField name="Nimi" numFmtId="0">
      <sharedItems/>
    </cacheField>
    <cacheField name="Seura" numFmtId="0">
      <sharedItems count="5">
        <s v="Kokkolan Veikot"/>
        <s v="Ylivieskan Kuula"/>
        <s v="_x0009_Haapajärven Kiilat"/>
        <s v="Kaustisen Pohjan-Veikot"/>
        <s v="_x0009_Reisjärven Pilke"/>
      </sharedItems>
    </cacheField>
    <cacheField name="Sijoitus" numFmtId="0">
      <sharedItems containsBlank="1"/>
    </cacheField>
    <cacheField name="Pisteet" numFmtId="0">
      <sharedItems containsSemiMixedTypes="0" containsString="0" containsNumber="1" containsInteger="1" minValue="0" maxValue="100"/>
    </cacheField>
    <cacheField name="Sijoitus2" numFmtId="0">
      <sharedItems/>
    </cacheField>
    <cacheField name="Pisteet2" numFmtId="0">
      <sharedItems containsSemiMixedTypes="0" containsString="0" containsNumber="1" containsInteger="1" minValue="32" maxValue="100"/>
    </cacheField>
    <cacheField name="Nimi2" numFmtId="0">
      <sharedItems/>
    </cacheField>
    <cacheField name="sijoitus3" numFmtId="0">
      <sharedItems containsString="0" containsBlank="1" containsNumber="1" containsInteger="1" minValue="1" maxValue="3"/>
    </cacheField>
    <cacheField name="pisteet3" numFmtId="0">
      <sharedItems containsSemiMixedTypes="0" containsString="0" containsNumber="1" containsInteger="1" minValue="0" maxValue="100"/>
    </cacheField>
    <cacheField name="nimi4" numFmtId="0">
      <sharedItems/>
    </cacheField>
    <cacheField name="sijoitus4" numFmtId="0">
      <sharedItems containsString="0" containsBlank="1" containsNumber="1" containsInteger="1" minValue="1" maxValue="5"/>
    </cacheField>
    <cacheField name="pisteet4" numFmtId="0">
      <sharedItems containsSemiMixedTypes="0" containsString="0" containsNumber="1" containsInteger="1" minValue="0" maxValue="100"/>
    </cacheField>
    <cacheField name="Seurapisteet" numFmtId="0">
      <sharedItems containsSemiMixedTypes="0" containsString="0" containsNumber="1" containsInteger="1" minValue="36" maxValue="340"/>
    </cacheField>
    <cacheField name="Henkilökohtaiset kokonaispisteet" numFmtId="0">
      <sharedItems containsSemiMixedTypes="0" containsString="0" containsNumber="1" containsInteger="1" minValue="36" maxValue="300"/>
    </cacheField>
    <cacheField name="sijoitus Kp-cup" numFmtId="0">
      <sharedItems containsSemiMixedTypes="0" containsString="0" containsNumber="1" containsInteger="1" minValue="1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emil Parkkila" refreshedDate="45389.977860648149" createdVersion="8" refreshedVersion="8" minRefreshableVersion="3" recordCount="6" xr:uid="{A64F0128-11C3-4C7E-A17F-E2F92EEB217B}">
  <cacheSource type="worksheet">
    <worksheetSource name="Taulukko9"/>
  </cacheSource>
  <cacheFields count="15">
    <cacheField name="Nimi" numFmtId="0">
      <sharedItems/>
    </cacheField>
    <cacheField name="Seura" numFmtId="0">
      <sharedItems count="5">
        <s v="Kalajoen Junkkarit"/>
        <s v="Himangan Urheilijat"/>
        <s v="Ylivieskan Kuula"/>
        <s v="Kokkolan Veikot"/>
        <s v="Nivalan Urheilijat"/>
      </sharedItems>
    </cacheField>
    <cacheField name="Sijoitus" numFmtId="0">
      <sharedItems containsBlank="1"/>
    </cacheField>
    <cacheField name="Pisteet" numFmtId="0">
      <sharedItems containsSemiMixedTypes="0" containsString="0" containsNumber="1" containsInteger="1" minValue="0" maxValue="100"/>
    </cacheField>
    <cacheField name="Sijoitus2" numFmtId="0">
      <sharedItems containsBlank="1"/>
    </cacheField>
    <cacheField name="Pisteet2" numFmtId="0">
      <sharedItems containsSemiMixedTypes="0" containsString="0" containsNumber="1" containsInteger="1" minValue="0" maxValue="100"/>
    </cacheField>
    <cacheField name="Nimi2" numFmtId="0">
      <sharedItems containsBlank="1"/>
    </cacheField>
    <cacheField name="sijoitus3" numFmtId="0">
      <sharedItems containsString="0" containsBlank="1" containsNumber="1" containsInteger="1" minValue="1" maxValue="3"/>
    </cacheField>
    <cacheField name="pisteet3" numFmtId="0">
      <sharedItems containsSemiMixedTypes="0" containsString="0" containsNumber="1" containsInteger="1" minValue="0" maxValue="100"/>
    </cacheField>
    <cacheField name="nimi4" numFmtId="0">
      <sharedItems/>
    </cacheField>
    <cacheField name="sijoitus4" numFmtId="0">
      <sharedItems containsString="0" containsBlank="1" containsNumber="1" containsInteger="1" minValue="1" maxValue="4"/>
    </cacheField>
    <cacheField name="pisteet4" numFmtId="0">
      <sharedItems containsSemiMixedTypes="0" containsString="0" containsNumber="1" containsInteger="1" minValue="0" maxValue="100"/>
    </cacheField>
    <cacheField name="Seurapisteet" numFmtId="0">
      <sharedItems containsSemiMixedTypes="0" containsString="0" containsNumber="1" containsInteger="1" minValue="45" maxValue="340"/>
    </cacheField>
    <cacheField name="Henkilökohtaiset kokonaispisteet" numFmtId="0">
      <sharedItems containsSemiMixedTypes="0" containsString="0" containsNumber="1" containsInteger="1" minValue="45" maxValue="280"/>
    </cacheField>
    <cacheField name="sijoitus Kp-cup" numFmtId="0">
      <sharedItems containsSemiMixedTypes="0" containsString="0" containsNumber="1" containsInteger="1" minValue="1" maxValue="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emil Parkkila" refreshedDate="45389.97835208333" createdVersion="8" refreshedVersion="8" minRefreshableVersion="3" recordCount="5" xr:uid="{EEDE5E6C-187A-49D7-9EE0-533C133A642F}">
  <cacheSource type="worksheet">
    <worksheetSource name="Taulukko13"/>
  </cacheSource>
  <cacheFields count="15">
    <cacheField name="Nimi" numFmtId="0">
      <sharedItems/>
    </cacheField>
    <cacheField name="Seura" numFmtId="0">
      <sharedItems count="5">
        <s v="Kaustisen Pohjan-Veikot_x0009_"/>
        <s v="Halsuan Toivo"/>
        <s v="_x0009_Kalajoen Junkkarit"/>
        <s v="_x0009_Reisjärven Pilke"/>
        <s v="Kaustisen Pohjan-Veikot"/>
      </sharedItems>
    </cacheField>
    <cacheField name="Sijoitus" numFmtId="0">
      <sharedItems/>
    </cacheField>
    <cacheField name="Pisteet" numFmtId="0">
      <sharedItems containsSemiMixedTypes="0" containsString="0" containsNumber="1" containsInteger="1" minValue="45" maxValue="100"/>
    </cacheField>
    <cacheField name="Sijoitus2" numFmtId="0">
      <sharedItems containsBlank="1"/>
    </cacheField>
    <cacheField name="Pisteet2" numFmtId="0">
      <sharedItems containsSemiMixedTypes="0" containsString="0" containsNumber="1" containsInteger="1" minValue="0" maxValue="100"/>
    </cacheField>
    <cacheField name="Nimi2" numFmtId="0">
      <sharedItems/>
    </cacheField>
    <cacheField name="sijoitus3" numFmtId="0">
      <sharedItems containsString="0" containsBlank="1" containsNumber="1" containsInteger="1" minValue="1" maxValue="3"/>
    </cacheField>
    <cacheField name="pisteet3" numFmtId="0">
      <sharedItems containsSemiMixedTypes="0" containsString="0" containsNumber="1" containsInteger="1" minValue="0" maxValue="100"/>
    </cacheField>
    <cacheField name="nimi4" numFmtId="0">
      <sharedItems/>
    </cacheField>
    <cacheField name="sijoitus4" numFmtId="0">
      <sharedItems containsString="0" containsBlank="1" containsNumber="1" containsInteger="1" minValue="1" maxValue="4"/>
    </cacheField>
    <cacheField name="pisteet4" numFmtId="0">
      <sharedItems containsSemiMixedTypes="0" containsString="0" containsNumber="1" containsInteger="1" minValue="0" maxValue="100"/>
    </cacheField>
    <cacheField name="Seurapisteet" numFmtId="0">
      <sharedItems containsSemiMixedTypes="0" containsString="0" containsNumber="1" containsInteger="1" minValue="110" maxValue="320"/>
    </cacheField>
    <cacheField name="Henkilökohtaiset kokonaispisteet" numFmtId="0">
      <sharedItems containsSemiMixedTypes="0" containsString="0" containsNumber="1" containsInteger="1" minValue="110" maxValue="280"/>
    </cacheField>
    <cacheField name="sijoitus Kp-cup" numFmtId="0">
      <sharedItems containsSemiMixedTypes="0" containsString="0" containsNumber="1" containsInteger="1" minValue="1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emil Parkkila" refreshedDate="45389.978727199072" createdVersion="8" refreshedVersion="8" minRefreshableVersion="3" recordCount="1" xr:uid="{938E8741-C9C8-42FB-B8C2-CD0B9D644D94}">
  <cacheSource type="worksheet">
    <worksheetSource name="Taulukko14"/>
  </cacheSource>
  <cacheFields count="15">
    <cacheField name="Nimi" numFmtId="0">
      <sharedItems/>
    </cacheField>
    <cacheField name="Seura" numFmtId="0">
      <sharedItems count="1">
        <s v="Nivalan Urheilijat"/>
      </sharedItems>
    </cacheField>
    <cacheField name="Sijoitus" numFmtId="0">
      <sharedItems containsNonDate="0" containsString="0" containsBlank="1"/>
    </cacheField>
    <cacheField name="Pisteet" numFmtId="0">
      <sharedItems containsSemiMixedTypes="0" containsString="0" containsNumber="1" containsInteger="1" minValue="0" maxValue="0"/>
    </cacheField>
    <cacheField name="Sijoitus2" numFmtId="0">
      <sharedItems/>
    </cacheField>
    <cacheField name="Pisteet2" numFmtId="0">
      <sharedItems containsSemiMixedTypes="0" containsString="0" containsNumber="1" containsInteger="1" minValue="100" maxValue="100"/>
    </cacheField>
    <cacheField name="Nimi2" numFmtId="0">
      <sharedItems/>
    </cacheField>
    <cacheField name="sijoitus3" numFmtId="0">
      <sharedItems containsSemiMixedTypes="0" containsString="0" containsNumber="1" containsInteger="1" minValue="1" maxValue="1"/>
    </cacheField>
    <cacheField name="pisteet3" numFmtId="0">
      <sharedItems containsSemiMixedTypes="0" containsString="0" containsNumber="1" containsInteger="1" minValue="100" maxValue="100"/>
    </cacheField>
    <cacheField name="nimi4" numFmtId="0">
      <sharedItems/>
    </cacheField>
    <cacheField name="sijoitus4" numFmtId="0">
      <sharedItems containsSemiMixedTypes="0" containsString="0" containsNumber="1" containsInteger="1" minValue="1" maxValue="1"/>
    </cacheField>
    <cacheField name="pisteet4" numFmtId="0">
      <sharedItems containsSemiMixedTypes="0" containsString="0" containsNumber="1" containsInteger="1" minValue="100" maxValue="100"/>
    </cacheField>
    <cacheField name="Seurapisteet" numFmtId="0">
      <sharedItems containsSemiMixedTypes="0" containsString="0" containsNumber="1" containsInteger="1" minValue="300" maxValue="300"/>
    </cacheField>
    <cacheField name="Henkilökohtaiset kokonaispisteet" numFmtId="0">
      <sharedItems containsSemiMixedTypes="0" containsString="0" containsNumber="1" containsInteger="1" minValue="300" maxValue="300"/>
    </cacheField>
    <cacheField name="sijoitus Kp-cup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s v="Toivo Kyösti"/>
    <x v="0"/>
    <s v="1."/>
    <n v="100"/>
    <x v="0"/>
    <n v="100"/>
    <s v="Toivo Kyösti"/>
    <s v="1."/>
    <n v="100"/>
    <s v="Toivo Kyösti"/>
    <n v="2"/>
    <n v="80"/>
    <n v="380"/>
    <n v="300"/>
    <n v="1"/>
  </r>
  <r>
    <s v="Veikko Aarnio"/>
    <x v="0"/>
    <s v="4."/>
    <n v="50"/>
    <x v="1"/>
    <n v="80"/>
    <s v="Veikko Aarnio"/>
    <m/>
    <n v="0"/>
    <s v="Veikko Aarnio"/>
    <n v="1"/>
    <n v="100"/>
    <n v="230"/>
    <n v="230"/>
    <n v="2"/>
  </r>
  <r>
    <s v="Aarne Ruusunen"/>
    <x v="0"/>
    <s v="2."/>
    <n v="80"/>
    <x v="2"/>
    <n v="60"/>
    <s v="Aarne Ruusunen"/>
    <s v="2."/>
    <n v="80"/>
    <s v="Aarne Ruusunen"/>
    <m/>
    <n v="0"/>
    <n v="220"/>
    <n v="220"/>
    <n v="3"/>
  </r>
  <r>
    <s v="Verneri Hietala"/>
    <x v="1"/>
    <s v="3."/>
    <n v="60"/>
    <x v="3"/>
    <n v="0"/>
    <s v="Verneri Hietala"/>
    <s v="3."/>
    <n v="60"/>
    <s v="Verneri Hietala"/>
    <m/>
    <n v="0"/>
    <n v="120"/>
    <n v="120"/>
    <n v="4"/>
  </r>
  <r>
    <s v="Otso Lokkila"/>
    <x v="2"/>
    <m/>
    <n v="0"/>
    <x v="3"/>
    <n v="0"/>
    <s v="Otso Lokkila"/>
    <m/>
    <n v="0"/>
    <s v="Otso Lokkila"/>
    <n v="3"/>
    <n v="60"/>
    <n v="60"/>
    <n v="60"/>
    <n v="5"/>
  </r>
</pivotCacheRecords>
</file>

<file path=xl/pivotCache/pivotCacheRecords10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s v="Alina Lidsle"/>
    <x v="0"/>
    <s v="1."/>
    <n v="100"/>
    <s v="1."/>
    <n v="100"/>
    <s v="Alina Lidsle"/>
    <n v="5"/>
    <n v="45"/>
    <s v="Alina Lidsle"/>
    <n v="3"/>
    <n v="60"/>
    <n v="305"/>
    <n v="260"/>
    <n v="1"/>
  </r>
  <r>
    <s v="_x0009_Neea Murto"/>
    <x v="1"/>
    <s v="2."/>
    <n v="80"/>
    <s v="3."/>
    <n v="60"/>
    <s v="_x0009_Neea Murto"/>
    <n v="2"/>
    <n v="80"/>
    <s v="_x0009_Neea Murto"/>
    <n v="1"/>
    <n v="100"/>
    <n v="320"/>
    <n v="260"/>
    <n v="2"/>
  </r>
  <r>
    <s v="_x0009_Siru Koskela"/>
    <x v="2"/>
    <s v="3."/>
    <n v="60"/>
    <s v="2."/>
    <n v="80"/>
    <s v="_x0009_Siru Koskela"/>
    <n v="1"/>
    <n v="100"/>
    <s v="_x0009_Siru Koskela"/>
    <n v="4"/>
    <n v="50"/>
    <n v="290"/>
    <n v="240"/>
    <n v="3"/>
  </r>
  <r>
    <s v="Ronja Aarnio"/>
    <x v="3"/>
    <s v="5."/>
    <n v="45"/>
    <s v="5."/>
    <n v="45"/>
    <s v="Ronja Aarnio"/>
    <n v="3"/>
    <n v="60"/>
    <s v="Ronja Aarnio"/>
    <n v="2"/>
    <n v="80"/>
    <n v="230"/>
    <n v="185"/>
    <n v="4"/>
  </r>
  <r>
    <s v="Ella Pesola"/>
    <x v="4"/>
    <s v="4."/>
    <n v="50"/>
    <s v="4."/>
    <n v="50"/>
    <s v="Ella Pesola"/>
    <n v="4"/>
    <n v="50"/>
    <s v="Ella Pesola"/>
    <m/>
    <n v="0"/>
    <n v="150"/>
    <n v="150"/>
    <n v="5"/>
  </r>
  <r>
    <s v="Aada Junnikkala"/>
    <x v="5"/>
    <m/>
    <n v="0"/>
    <s v="6."/>
    <n v="40"/>
    <s v="Aada Junnikkala"/>
    <m/>
    <n v="0"/>
    <s v="Aada Junnikkala"/>
    <m/>
    <n v="0"/>
    <n v="40"/>
    <n v="40"/>
    <n v="6"/>
  </r>
</pivotCacheRecords>
</file>

<file path=xl/pivotCache/pivotCacheRecords1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s v="Ukko Järviluoma"/>
    <x v="0"/>
    <s v="1."/>
    <n v="100"/>
    <s v="1."/>
    <n v="100"/>
    <s v="Ukko Järviluoma"/>
    <n v="2"/>
    <n v="80"/>
    <s v="Ukko Järviluoma"/>
    <n v="1"/>
    <n v="100"/>
    <n v="380"/>
    <n v="300"/>
    <n v="1"/>
  </r>
  <r>
    <s v="Paavo Kokkoniemi"/>
    <x v="1"/>
    <s v="2."/>
    <n v="80"/>
    <s v="2."/>
    <n v="80"/>
    <s v="Paavo Kokkoniemi"/>
    <m/>
    <n v="0"/>
    <s v="Paavo Kokkoniemi"/>
    <n v="2"/>
    <n v="80"/>
    <n v="240"/>
    <n v="240"/>
    <n v="2"/>
  </r>
  <r>
    <s v="Toni Jääskeläinen"/>
    <x v="2"/>
    <s v="3."/>
    <n v="60"/>
    <s v="4."/>
    <n v="50"/>
    <s v="Toni Jääskeläinen"/>
    <n v="1"/>
    <n v="100"/>
    <s v="Toni Jääskeläinen"/>
    <n v="3"/>
    <n v="60"/>
    <n v="270"/>
    <n v="220"/>
    <n v="3"/>
  </r>
  <r>
    <s v="Roni Saarela"/>
    <x v="3"/>
    <s v="6."/>
    <n v="40"/>
    <s v="7."/>
    <n v="36"/>
    <s v="Roni Saarela"/>
    <n v="3"/>
    <n v="60"/>
    <s v="Roni Saarela"/>
    <m/>
    <n v="0"/>
    <n v="136"/>
    <n v="136"/>
    <n v="4"/>
  </r>
  <r>
    <s v="Jaakko Vuotila"/>
    <x v="4"/>
    <s v="4."/>
    <n v="50"/>
    <s v="5."/>
    <n v="45"/>
    <s v="Jaakko Vuotila"/>
    <m/>
    <n v="0"/>
    <s v="Jaakko Vuotila"/>
    <m/>
    <n v="0"/>
    <n v="95"/>
    <n v="95"/>
    <n v="5"/>
  </r>
  <r>
    <s v="Leo Rautio"/>
    <x v="5"/>
    <s v="5."/>
    <n v="45"/>
    <s v="6."/>
    <n v="40"/>
    <s v="Leo Rautio"/>
    <m/>
    <n v="0"/>
    <s v="Leo Rautio"/>
    <m/>
    <n v="0"/>
    <n v="85"/>
    <n v="85"/>
    <n v="6"/>
  </r>
  <r>
    <s v="Albert Viljamaa"/>
    <x v="6"/>
    <m/>
    <n v="0"/>
    <s v="3."/>
    <n v="60"/>
    <s v="Albert Viljamaa"/>
    <m/>
    <n v="0"/>
    <s v="Albert Viljamaa"/>
    <m/>
    <n v="0"/>
    <n v="60"/>
    <n v="60"/>
    <n v="7"/>
  </r>
</pivotCacheRecords>
</file>

<file path=xl/pivotCache/pivotCacheRecords1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s v="Emma Parkkila"/>
    <x v="0"/>
    <s v="1."/>
    <n v="100"/>
    <s v="1."/>
    <n v="100"/>
    <s v="Emma Parkkila"/>
    <m/>
    <n v="0"/>
    <s v="Emma Parkkila"/>
    <n v="2"/>
    <n v="80"/>
    <n v="280"/>
    <n v="280"/>
    <n v="1"/>
  </r>
  <r>
    <s v="Mette Kanala"/>
    <x v="1"/>
    <s v="2."/>
    <n v="80"/>
    <s v="3."/>
    <n v="60"/>
    <s v="Mette Kanala"/>
    <n v="2"/>
    <n v="80"/>
    <s v="Mette Kanala"/>
    <n v="3"/>
    <n v="60"/>
    <n v="280"/>
    <n v="220"/>
    <n v="2"/>
  </r>
  <r>
    <s v="Iida Paavola"/>
    <x v="2"/>
    <s v="3."/>
    <n v="60"/>
    <s v="2."/>
    <n v="80"/>
    <s v="Iida Paavola"/>
    <n v="3"/>
    <n v="60"/>
    <s v="Iida Paavola"/>
    <m/>
    <n v="0"/>
    <n v="200"/>
    <n v="200"/>
    <n v="3"/>
  </r>
  <r>
    <s v="Liina-Maija Hietala"/>
    <x v="2"/>
    <m/>
    <n v="0"/>
    <m/>
    <n v="0"/>
    <s v="Liina-Maija Hietala"/>
    <n v="1"/>
    <n v="100"/>
    <s v="Liina-Maija Hietala"/>
    <n v="1"/>
    <n v="100"/>
    <n v="200"/>
    <n v="200"/>
    <n v="4"/>
  </r>
  <r>
    <s v="Senni Moilanen"/>
    <x v="3"/>
    <s v="4."/>
    <n v="50"/>
    <s v="5."/>
    <n v="45"/>
    <s v="Senni Moilanen"/>
    <m/>
    <n v="0"/>
    <s v="Senni Moilanen"/>
    <n v="5"/>
    <n v="45"/>
    <n v="140"/>
    <n v="140"/>
    <n v="5"/>
  </r>
  <r>
    <s v="Siiri Paloranta"/>
    <x v="4"/>
    <m/>
    <n v="0"/>
    <s v="4."/>
    <n v="50"/>
    <s v="Siiri Paloranta"/>
    <m/>
    <n v="0"/>
    <s v="Siiri Paloranta"/>
    <n v="4"/>
    <n v="50"/>
    <n v="100"/>
    <n v="100"/>
    <n v="6"/>
  </r>
  <r>
    <s v="Lyyli Niinikoski"/>
    <x v="5"/>
    <m/>
    <n v="0"/>
    <m/>
    <n v="0"/>
    <s v="Lyyli Niinikoski"/>
    <n v="4"/>
    <n v="50"/>
    <s v="Lyyli Niinikoski"/>
    <m/>
    <n v="0"/>
    <n v="50"/>
    <n v="50"/>
    <n v="7"/>
  </r>
</pivotCacheRecords>
</file>

<file path=xl/pivotCache/pivotCacheRecords1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s v="Atte Huhtanen"/>
    <x v="0"/>
    <s v="1."/>
    <n v="100"/>
    <s v="1."/>
    <n v="100"/>
    <s v="Atte Huhtanen"/>
    <n v="1"/>
    <n v="100"/>
    <s v="Atte Huhtanen"/>
    <n v="1"/>
    <n v="100"/>
    <n v="400"/>
    <n v="300"/>
    <n v="1"/>
  </r>
</pivotCacheRecords>
</file>

<file path=xl/pivotCache/pivotCacheRecords1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s v="Laura Aho"/>
    <x v="0"/>
    <s v="1."/>
    <n v="100"/>
    <s v="1."/>
    <n v="100"/>
    <s v="Laura Aho"/>
    <n v="1"/>
    <n v="100"/>
    <s v="Laura Aho"/>
    <n v="1"/>
    <n v="100"/>
    <n v="400"/>
    <n v="300"/>
    <n v="1"/>
  </r>
  <r>
    <s v="Alma Syrjä"/>
    <x v="1"/>
    <s v="2."/>
    <n v="80"/>
    <s v="3."/>
    <n v="60"/>
    <s v="Alma Syrjä"/>
    <n v="2"/>
    <n v="80"/>
    <s v="Alma Syrjä"/>
    <n v="2"/>
    <n v="80"/>
    <n v="300"/>
    <n v="240"/>
    <n v="2"/>
  </r>
  <r>
    <s v="_x0009_Iina Kiiskilä"/>
    <x v="2"/>
    <s v="3."/>
    <n v="60"/>
    <s v="4."/>
    <n v="50"/>
    <s v="_x0009_Iina Kiiskilä"/>
    <n v="3"/>
    <n v="60"/>
    <s v="_x0009_Iina Kiiskilä"/>
    <m/>
    <n v="0"/>
    <n v="170"/>
    <n v="170"/>
    <n v="3"/>
  </r>
  <r>
    <s v="Tessa Herronen"/>
    <x v="2"/>
    <m/>
    <n v="0"/>
    <s v="2."/>
    <n v="80"/>
    <s v="Tessa Herronen"/>
    <m/>
    <n v="0"/>
    <s v="Tessa Herronen"/>
    <m/>
    <n v="0"/>
    <n v="80"/>
    <n v="80"/>
    <n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s v="_x0009_Adessa Oja"/>
    <x v="0"/>
    <s v="2."/>
    <n v="80"/>
    <s v="1."/>
    <n v="100"/>
    <s v="_x0009_Adessa Oja"/>
    <n v="1"/>
    <n v="100"/>
    <s v="_x0009_Adessa Oja"/>
    <m/>
    <n v="0"/>
    <n v="280"/>
    <n v="280"/>
    <n v="1"/>
  </r>
  <r>
    <s v="Elli Pietikäinen"/>
    <x v="1"/>
    <s v="1."/>
    <n v="100"/>
    <s v="3."/>
    <n v="60"/>
    <s v="Elli Pietikäinen"/>
    <n v="2"/>
    <n v="80"/>
    <s v="Elli Pietikäinen"/>
    <n v="2"/>
    <n v="80"/>
    <n v="320"/>
    <n v="260"/>
    <n v="2"/>
  </r>
  <r>
    <s v="Sohvi Marjamaa"/>
    <x v="2"/>
    <s v="4."/>
    <n v="50"/>
    <s v="2."/>
    <n v="80"/>
    <s v="Sohvi Marjamaa"/>
    <m/>
    <n v="0"/>
    <s v="Sohvi Marjamaa"/>
    <n v="1"/>
    <n v="100"/>
    <n v="230"/>
    <n v="230"/>
    <n v="3"/>
  </r>
  <r>
    <s v="_x0009_Venla Lassila"/>
    <x v="3"/>
    <s v="3."/>
    <n v="60"/>
    <m/>
    <n v="0"/>
    <s v="_x0009_Venla Lassila"/>
    <n v="3"/>
    <n v="60"/>
    <s v="_x0009_Venla Lassila"/>
    <n v="3"/>
    <n v="60"/>
    <n v="180"/>
    <n v="180"/>
    <n v="4"/>
  </r>
  <r>
    <s v="Neea Hanni "/>
    <x v="4"/>
    <m/>
    <n v="0"/>
    <s v="4."/>
    <n v="50"/>
    <s v="Neea Hanni "/>
    <m/>
    <n v="0"/>
    <s v="Neea Hanni "/>
    <m/>
    <n v="0"/>
    <n v="50"/>
    <n v="50"/>
    <n v="5"/>
  </r>
  <r>
    <s v="Martta Heikkilä"/>
    <x v="0"/>
    <m/>
    <n v="0"/>
    <m/>
    <n v="0"/>
    <s v="Martta Heikkilä"/>
    <n v="4"/>
    <n v="50"/>
    <s v="Martta Heikkilä"/>
    <m/>
    <n v="0"/>
    <n v="50"/>
    <n v="50"/>
    <n v="6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s v="Eddi Pietilä"/>
    <x v="0"/>
    <s v="1."/>
    <n v="100"/>
    <s v="1."/>
    <n v="100"/>
    <s v="Eddi Pietilä"/>
    <n v="1"/>
    <n v="100"/>
    <s v="Eddi Pietilä"/>
    <m/>
    <n v="0"/>
    <n v="300"/>
    <n v="300"/>
    <n v="1"/>
  </r>
  <r>
    <s v="_x0009_Emil Kähtävä"/>
    <x v="1"/>
    <s v="2."/>
    <n v="80"/>
    <s v="2."/>
    <n v="80"/>
    <s v="_x0009_Emil Kähtävä"/>
    <n v="2"/>
    <n v="80"/>
    <s v="_x0009_Emil Kähtävä"/>
    <m/>
    <n v="0"/>
    <n v="240"/>
    <n v="240"/>
    <n v="2"/>
  </r>
  <r>
    <s v="_x0009_Alvar Junnikkala"/>
    <x v="1"/>
    <s v="3."/>
    <n v="60"/>
    <s v="3."/>
    <n v="60"/>
    <s v="_x0009_Alvar Junnikkala"/>
    <m/>
    <n v="0"/>
    <s v="_x0009_Alvar Junnikkala"/>
    <n v="1"/>
    <n v="100"/>
    <n v="220"/>
    <n v="220"/>
    <n v="3"/>
  </r>
  <r>
    <s v="Nooa Hylkilä"/>
    <x v="2"/>
    <s v="4."/>
    <n v="50"/>
    <s v="7."/>
    <n v="36"/>
    <s v="Nooa Hylkilä"/>
    <m/>
    <n v="0"/>
    <s v="Nooa Hylkilä"/>
    <n v="3"/>
    <n v="60"/>
    <n v="146"/>
    <n v="146"/>
    <n v="4"/>
  </r>
  <r>
    <s v="Oliver Huhtanen"/>
    <x v="3"/>
    <s v="5."/>
    <n v="45"/>
    <s v="8."/>
    <n v="32"/>
    <s v="Oliver Huhtanen"/>
    <n v="5"/>
    <n v="45"/>
    <s v="Oliver Huhtanen"/>
    <n v="4"/>
    <n v="50"/>
    <n v="172"/>
    <n v="140"/>
    <n v="5"/>
  </r>
  <r>
    <s v="Aatos Sikkilä"/>
    <x v="3"/>
    <m/>
    <n v="0"/>
    <s v="4."/>
    <n v="50"/>
    <s v="Aatos Sikkilä"/>
    <n v="3"/>
    <n v="60"/>
    <s v="Aatos Sikkilä"/>
    <m/>
    <n v="0"/>
    <n v="110"/>
    <n v="110"/>
    <n v="6"/>
  </r>
  <r>
    <s v="Iisak Rautakoski"/>
    <x v="3"/>
    <m/>
    <n v="0"/>
    <s v="6."/>
    <n v="40"/>
    <s v="Iisak Rautakoski"/>
    <n v="4"/>
    <n v="50"/>
    <s v="Iisak Rautakoski"/>
    <m/>
    <n v="0"/>
    <n v="90"/>
    <n v="90"/>
    <n v="7"/>
  </r>
  <r>
    <s v="_x0009_Leevi Lassila"/>
    <x v="4"/>
    <s v="7."/>
    <n v="36"/>
    <m/>
    <n v="0"/>
    <s v="_x0009_Leevi Lassila"/>
    <m/>
    <n v="0"/>
    <s v="_x0009_Leevi Lassila"/>
    <n v="5"/>
    <n v="45"/>
    <n v="81"/>
    <n v="81"/>
    <n v="8"/>
  </r>
  <r>
    <s v="Vilho Saari"/>
    <x v="5"/>
    <m/>
    <n v="0"/>
    <m/>
    <n v="0"/>
    <s v="Vilho Saari"/>
    <m/>
    <n v="0"/>
    <s v="Vilho Saari"/>
    <n v="2"/>
    <n v="80"/>
    <n v="80"/>
    <n v="80"/>
    <n v="9"/>
  </r>
  <r>
    <s v="Halti Heinonen"/>
    <x v="3"/>
    <m/>
    <n v="0"/>
    <s v="5."/>
    <n v="45"/>
    <s v="Halti Heinonen"/>
    <m/>
    <n v="0"/>
    <s v="Halti Heinonen"/>
    <m/>
    <n v="0"/>
    <n v="45"/>
    <n v="45"/>
    <n v="10"/>
  </r>
  <r>
    <s v="Peetu Heikkilä"/>
    <x v="6"/>
    <m/>
    <n v="0"/>
    <m/>
    <n v="0"/>
    <s v="Peetu Heikkilä"/>
    <n v="6"/>
    <n v="40"/>
    <s v="Peetu Heikkilä"/>
    <m/>
    <n v="0"/>
    <n v="40"/>
    <n v="40"/>
    <n v="11"/>
  </r>
  <r>
    <s v="Elmeri Ojala"/>
    <x v="1"/>
    <s v="6."/>
    <n v="40"/>
    <m/>
    <n v="0"/>
    <s v="Elmeri Ojala"/>
    <m/>
    <n v="0"/>
    <s v="Elmeri Ojala"/>
    <m/>
    <n v="0"/>
    <n v="40"/>
    <n v="40"/>
    <n v="11"/>
  </r>
  <r>
    <s v="_x0009_Saku Kettu"/>
    <x v="4"/>
    <s v="8."/>
    <n v="32"/>
    <m/>
    <n v="0"/>
    <s v="_x0009_Saku Kettu"/>
    <m/>
    <n v="0"/>
    <s v="_x0009_Saku Kettu"/>
    <m/>
    <n v="0"/>
    <n v="32"/>
    <n v="32"/>
    <n v="13"/>
  </r>
  <r>
    <s v="_x0009_Joonas Eemeli Vilu"/>
    <x v="1"/>
    <s v="9."/>
    <n v="29"/>
    <m/>
    <n v="0"/>
    <s v="_x0009_Joonas Eemeli Vilu"/>
    <m/>
    <n v="0"/>
    <s v="_x0009_Joonas Eemeli Vilu"/>
    <m/>
    <n v="0"/>
    <n v="29"/>
    <n v="29"/>
    <n v="14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s v="Mette Haikara"/>
    <x v="0"/>
    <s v="1."/>
    <n v="100"/>
    <s v="1."/>
    <n v="100"/>
    <s v="Mette Haikara"/>
    <n v="2"/>
    <n v="80"/>
    <s v="Mette Haikara"/>
    <n v="1"/>
    <n v="100"/>
    <n v="380"/>
    <n v="300"/>
    <n v="1"/>
  </r>
  <r>
    <s v="_x0009_Nelli Hyväluoma"/>
    <x v="1"/>
    <s v="2."/>
    <n v="80"/>
    <s v="4."/>
    <n v="50"/>
    <s v="_x0009_Nelli Hyväluoma"/>
    <n v="1"/>
    <n v="100"/>
    <s v="_x0009_Nelli Hyväluoma"/>
    <n v="4"/>
    <n v="50"/>
    <n v="280"/>
    <n v="230"/>
    <n v="2"/>
  </r>
  <r>
    <s v="_x0009_Lotta Pietikäinen"/>
    <x v="2"/>
    <s v="5."/>
    <n v="45"/>
    <s v="2."/>
    <n v="80"/>
    <s v="_x0009_Lotta Pietikäinen"/>
    <n v="3"/>
    <n v="60"/>
    <s v="_x0009_Lotta Pietikäinen"/>
    <n v="2"/>
    <n v="80"/>
    <n v="265"/>
    <n v="220"/>
    <n v="3"/>
  </r>
  <r>
    <s v="_x0009_Matilda Aarnio"/>
    <x v="3"/>
    <s v="4."/>
    <n v="50"/>
    <s v="3."/>
    <n v="60"/>
    <s v="_x0009_Matilda Aarnio"/>
    <n v="4"/>
    <n v="50"/>
    <s v="_x0009_Matilda Aarnio"/>
    <n v="3"/>
    <n v="60"/>
    <n v="220"/>
    <n v="170"/>
    <n v="4"/>
  </r>
  <r>
    <s v="_x0009_Milja Järvelä"/>
    <x v="1"/>
    <s v="3."/>
    <n v="60"/>
    <s v="9."/>
    <n v="29"/>
    <s v="_x0009_Milja Järvelä"/>
    <m/>
    <n v="0"/>
    <s v="_x0009_Milja Järvelä"/>
    <n v="7"/>
    <n v="36"/>
    <n v="125"/>
    <n v="125"/>
    <n v="5"/>
  </r>
  <r>
    <s v="Elsa Laakkonen"/>
    <x v="2"/>
    <s v="9."/>
    <n v="29"/>
    <s v="7."/>
    <n v="36"/>
    <s v="Elsa Laakkonen"/>
    <m/>
    <n v="0"/>
    <s v="Elsa Laakkonen"/>
    <n v="5"/>
    <n v="45"/>
    <n v="110"/>
    <n v="110"/>
    <n v="6"/>
  </r>
  <r>
    <s v="Isla Savelainen"/>
    <x v="2"/>
    <m/>
    <n v="0"/>
    <s v="8."/>
    <n v="32"/>
    <s v="Isla Savelainen"/>
    <n v="7"/>
    <n v="36"/>
    <s v="Isla Savelainen"/>
    <n v="6"/>
    <n v="40"/>
    <n v="108"/>
    <n v="108"/>
    <n v="7"/>
  </r>
  <r>
    <s v="_x0009_Saana Suomu"/>
    <x v="4"/>
    <s v="7."/>
    <n v="36"/>
    <s v="10."/>
    <n v="26"/>
    <s v="_x0009_Saana Suomu"/>
    <n v="5"/>
    <n v="45"/>
    <s v="_x0009_Saana Suomu"/>
    <m/>
    <n v="0"/>
    <n v="107"/>
    <n v="107"/>
    <n v="8"/>
  </r>
  <r>
    <s v="_x0009_Aana Oja"/>
    <x v="3"/>
    <s v="8."/>
    <n v="32"/>
    <s v="11."/>
    <n v="24"/>
    <s v="_x0009_Aana Oja"/>
    <n v="6"/>
    <n v="40"/>
    <s v="_x0009_Aana Oja"/>
    <n v="8"/>
    <n v="32"/>
    <n v="128"/>
    <n v="104"/>
    <n v="9"/>
  </r>
  <r>
    <s v="_x0009_Anniina Keltamäki"/>
    <x v="4"/>
    <s v="11."/>
    <n v="24"/>
    <s v="6."/>
    <n v="40"/>
    <s v="_x0009_Anniina Keltamäki"/>
    <n v="8"/>
    <n v="32"/>
    <s v="_x0009_Anniina Keltamäki"/>
    <m/>
    <n v="0"/>
    <n v="96"/>
    <n v="96"/>
    <n v="10"/>
  </r>
  <r>
    <s v="Aino Elisabet Karsikas"/>
    <x v="5"/>
    <m/>
    <n v="0"/>
    <s v="5."/>
    <n v="45"/>
    <s v="Aino Elisabet Karsikas"/>
    <m/>
    <n v="0"/>
    <s v="Aino Elisabet Karsikas"/>
    <n v="9"/>
    <n v="29"/>
    <n v="74"/>
    <n v="74"/>
    <n v="11"/>
  </r>
  <r>
    <s v="_x0009_Nelli Hietala"/>
    <x v="6"/>
    <s v="10."/>
    <n v="26"/>
    <m/>
    <n v="0"/>
    <s v="_x0009_Nelli Hietala"/>
    <n v="9"/>
    <n v="29"/>
    <s v="_x0009_Nelli Hietala"/>
    <m/>
    <n v="0"/>
    <n v="55"/>
    <n v="55"/>
    <n v="12"/>
  </r>
  <r>
    <s v="Linnea Laitala"/>
    <x v="6"/>
    <s v="12."/>
    <n v="22"/>
    <s v="13."/>
    <n v="20"/>
    <s v="Linnea Laitala"/>
    <m/>
    <n v="0"/>
    <s v="Linnea Laitala"/>
    <m/>
    <n v="0"/>
    <n v="42"/>
    <n v="42"/>
    <n v="13"/>
  </r>
  <r>
    <s v="Iida Lindell"/>
    <x v="3"/>
    <s v="6."/>
    <n v="40"/>
    <m/>
    <n v="0"/>
    <s v="Iida Lindell"/>
    <m/>
    <n v="0"/>
    <s v="Iida Lindell"/>
    <m/>
    <n v="0"/>
    <n v="40"/>
    <n v="40"/>
    <n v="14"/>
  </r>
  <r>
    <s v="Fiia Myllylahti"/>
    <x v="7"/>
    <m/>
    <n v="0"/>
    <s v="12."/>
    <n v="22"/>
    <s v="Fiia Myllylahti"/>
    <m/>
    <n v="0"/>
    <s v="Fiia Myllylahti"/>
    <m/>
    <n v="0"/>
    <n v="22"/>
    <n v="22"/>
    <n v="15"/>
  </r>
  <r>
    <s v="_x0009_Tuua Koskela"/>
    <x v="8"/>
    <s v="13."/>
    <n v="20"/>
    <m/>
    <n v="0"/>
    <s v="_x0009_Tuua Koskela"/>
    <m/>
    <n v="0"/>
    <s v="_x0009_Tuua Koskela"/>
    <m/>
    <n v="0"/>
    <n v="20"/>
    <n v="20"/>
    <n v="16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s v="_x0009_Atte Kähtävä"/>
    <x v="0"/>
    <s v="2."/>
    <n v="80"/>
    <s v="2."/>
    <n v="80"/>
    <s v="_x0009_Atte Kähtävä"/>
    <n v="1"/>
    <n v="100"/>
    <s v="_x0009_Atte Kähtävä"/>
    <n v="1"/>
    <n v="100"/>
    <n v="360"/>
    <n v="280"/>
    <n v="1"/>
  </r>
  <r>
    <s v="Iivari Murto"/>
    <x v="1"/>
    <s v="1."/>
    <n v="100"/>
    <s v="1."/>
    <n v="100"/>
    <s v="Iivari Murto"/>
    <n v="3"/>
    <n v="60"/>
    <s v="Iivari Murto"/>
    <n v="2"/>
    <n v="80"/>
    <n v="340"/>
    <n v="280"/>
    <n v="2"/>
  </r>
  <r>
    <s v="Amiel Lidsle"/>
    <x v="2"/>
    <s v="5."/>
    <n v="45"/>
    <s v="4."/>
    <n v="50"/>
    <s v="Amiel Lidsle"/>
    <n v="6"/>
    <n v="40"/>
    <s v="Amiel Lidsle"/>
    <n v="4"/>
    <n v="50"/>
    <n v="185"/>
    <n v="145"/>
    <n v="3"/>
  </r>
  <r>
    <s v="_x0009_Peetu Polet"/>
    <x v="0"/>
    <s v="4."/>
    <n v="50"/>
    <s v="5."/>
    <n v="45"/>
    <s v="_x0009_Peetu Polet"/>
    <n v="5"/>
    <n v="45"/>
    <s v="_x0009_Peetu Polet"/>
    <n v="5"/>
    <n v="45"/>
    <n v="185"/>
    <n v="140"/>
    <n v="4"/>
  </r>
  <r>
    <s v="Armas Einari Karsikas "/>
    <x v="3"/>
    <m/>
    <n v="0"/>
    <s v="3."/>
    <n v="60"/>
    <s v="Armas Einari Karsikas "/>
    <m/>
    <n v="0"/>
    <s v="Armas Einari Karsikas "/>
    <n v="3"/>
    <n v="60"/>
    <n v="120"/>
    <n v="120"/>
    <n v="5"/>
  </r>
  <r>
    <s v="Kaapo Väisänen"/>
    <x v="0"/>
    <s v="3."/>
    <n v="60"/>
    <m/>
    <n v="0"/>
    <s v="Kaapo Väisänen"/>
    <n v="4"/>
    <n v="50"/>
    <s v="Kaapo Väisänen"/>
    <m/>
    <n v="0"/>
    <n v="110"/>
    <n v="110"/>
    <n v="6"/>
  </r>
  <r>
    <s v="Atso Oja"/>
    <x v="4"/>
    <s v="8."/>
    <n v="32"/>
    <s v="8."/>
    <n v="32"/>
    <s v="Atso Oja"/>
    <n v="7"/>
    <n v="36"/>
    <s v="Atso Oja"/>
    <n v="6"/>
    <n v="40"/>
    <n v="140"/>
    <n v="108"/>
    <n v="7"/>
  </r>
  <r>
    <s v="Aku Hylkilä"/>
    <x v="5"/>
    <s v="6."/>
    <n v="40"/>
    <s v="6."/>
    <n v="40"/>
    <s v="Aku Hylkilä"/>
    <m/>
    <n v="0"/>
    <s v="Aku Hylkilä"/>
    <m/>
    <n v="0"/>
    <n v="80"/>
    <n v="80"/>
    <n v="8"/>
  </r>
  <r>
    <s v="Iivo Fränti"/>
    <x v="2"/>
    <m/>
    <n v="0"/>
    <m/>
    <n v="0"/>
    <s v="Iivo Fränti"/>
    <n v="2"/>
    <n v="80"/>
    <s v="Iivo Fränti"/>
    <m/>
    <n v="0"/>
    <n v="80"/>
    <n v="80"/>
    <n v="9"/>
  </r>
  <r>
    <s v="_x0009_Leevi Lindell"/>
    <x v="4"/>
    <s v="7."/>
    <n v="36"/>
    <s v="7."/>
    <n v="36"/>
    <s v="_x0009_Leevi Lindell"/>
    <m/>
    <n v="0"/>
    <s v="_x0009_Leevi Lindell"/>
    <m/>
    <n v="0"/>
    <n v="72"/>
    <n v="72"/>
    <n v="10"/>
  </r>
  <r>
    <s v="Niilo Lokkila"/>
    <x v="5"/>
    <m/>
    <n v="0"/>
    <m/>
    <n v="0"/>
    <m/>
    <m/>
    <n v="0"/>
    <s v="Niilo Lokkila"/>
    <n v="7"/>
    <n v="36"/>
    <n v="36"/>
    <n v="36"/>
    <n v="11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s v="Eeda Pietilä"/>
    <x v="0"/>
    <s v="1."/>
    <n v="100"/>
    <s v="1."/>
    <n v="100"/>
    <s v="Eeda Pietilä"/>
    <n v="1"/>
    <n v="100"/>
    <s v="Eeda Pietilä"/>
    <m/>
    <n v="0"/>
    <n v="300"/>
    <n v="300"/>
    <n v="1"/>
  </r>
  <r>
    <s v="_x0009_Iida Koski-Vähälä"/>
    <x v="1"/>
    <s v="2."/>
    <n v="80"/>
    <s v="2."/>
    <n v="80"/>
    <s v="_x0009_Iida Koski-Vähälä"/>
    <n v="2"/>
    <n v="80"/>
    <s v="_x0009_Iida Koski-Vähälä"/>
    <n v="1"/>
    <n v="100"/>
    <n v="340"/>
    <n v="260"/>
    <n v="2"/>
  </r>
  <r>
    <s v="Iida Harmaala"/>
    <x v="2"/>
    <s v="3."/>
    <n v="60"/>
    <s v="5."/>
    <n v="45"/>
    <s v="Iida Harmaala"/>
    <m/>
    <n v="0"/>
    <s v="Iida Harmaala"/>
    <n v="2"/>
    <n v="80"/>
    <n v="185"/>
    <n v="185"/>
    <n v="3"/>
  </r>
  <r>
    <s v="Elsa Paavola"/>
    <x v="3"/>
    <m/>
    <n v="0"/>
    <s v="4."/>
    <n v="50"/>
    <s v="Elsa Paavola"/>
    <n v="3"/>
    <n v="60"/>
    <s v="Elsa Paavola"/>
    <n v="3"/>
    <n v="60"/>
    <n v="170"/>
    <n v="170"/>
    <n v="4"/>
  </r>
  <r>
    <s v="Mona Haikara"/>
    <x v="4"/>
    <s v="4."/>
    <n v="50"/>
    <s v="6."/>
    <n v="40"/>
    <s v="Mona Haikara"/>
    <m/>
    <n v="0"/>
    <s v="Mona Haikara"/>
    <n v="4"/>
    <n v="50"/>
    <n v="140"/>
    <n v="140"/>
    <n v="5"/>
  </r>
  <r>
    <s v="Sanni Marjamaa"/>
    <x v="4"/>
    <s v="5."/>
    <n v="45"/>
    <s v="8."/>
    <n v="32"/>
    <s v="Sanni Marjamaa"/>
    <m/>
    <n v="0"/>
    <s v="Sanni Marjamaa"/>
    <n v="5"/>
    <n v="45"/>
    <n v="122"/>
    <n v="122"/>
    <n v="6"/>
  </r>
  <r>
    <s v="Saaga Myllylahti"/>
    <x v="1"/>
    <m/>
    <n v="0"/>
    <s v="3."/>
    <n v="60"/>
    <s v="Saaga Myllylahti"/>
    <m/>
    <n v="0"/>
    <s v="Saaga Myllylahti"/>
    <m/>
    <n v="0"/>
    <n v="60"/>
    <n v="60"/>
    <n v="7"/>
  </r>
  <r>
    <s v="Hilla Heinonen"/>
    <x v="1"/>
    <m/>
    <n v="0"/>
    <s v="7."/>
    <n v="36"/>
    <s v="Hilla Heinonen"/>
    <m/>
    <n v="0"/>
    <s v="Hilla Heinonen"/>
    <m/>
    <n v="0"/>
    <n v="36"/>
    <n v="36"/>
    <n v="8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s v="Oliver Rahja"/>
    <x v="0"/>
    <s v="1."/>
    <n v="100"/>
    <s v="1."/>
    <n v="100"/>
    <s v="Oliver Rahja"/>
    <n v="2"/>
    <n v="80"/>
    <s v="Oliver Rahja"/>
    <n v="3"/>
    <n v="60"/>
    <n v="340"/>
    <n v="280"/>
    <n v="1"/>
  </r>
  <r>
    <s v="_x0009_Eino Kyösti"/>
    <x v="1"/>
    <s v="2."/>
    <n v="80"/>
    <s v="4."/>
    <n v="50"/>
    <s v="_x0009_Eino Kyösti"/>
    <n v="1"/>
    <n v="100"/>
    <s v="_x0009_Eino Kyösti"/>
    <n v="2"/>
    <n v="80"/>
    <n v="310"/>
    <n v="260"/>
    <n v="2"/>
  </r>
  <r>
    <s v="Evald Peltola"/>
    <x v="2"/>
    <s v="4."/>
    <n v="50"/>
    <s v="2."/>
    <n v="80"/>
    <s v="Evald Peltola"/>
    <n v="3"/>
    <n v="60"/>
    <s v="Evald Peltola"/>
    <m/>
    <n v="0"/>
    <n v="190"/>
    <n v="190"/>
    <n v="3"/>
  </r>
  <r>
    <s v="Eemeli Aarnio"/>
    <x v="1"/>
    <s v="3."/>
    <n v="60"/>
    <s v="3."/>
    <n v="60"/>
    <s v="Eemeli Aarnio"/>
    <m/>
    <n v="0"/>
    <s v="Eemeli Aarnio"/>
    <n v="4"/>
    <n v="50"/>
    <n v="170"/>
    <n v="170"/>
    <n v="4"/>
  </r>
  <r>
    <s v="Eino Kinnunen"/>
    <x v="3"/>
    <m/>
    <n v="0"/>
    <m/>
    <n v="0"/>
    <m/>
    <m/>
    <n v="0"/>
    <s v="Eino Kinnunen"/>
    <n v="1"/>
    <n v="100"/>
    <n v="100"/>
    <n v="100"/>
    <n v="5"/>
  </r>
  <r>
    <s v="Mika Petteri Karsikas"/>
    <x v="4"/>
    <m/>
    <n v="0"/>
    <s v="5."/>
    <n v="45"/>
    <s v="Mika Petteri Karsikas"/>
    <m/>
    <n v="0"/>
    <s v="Mika Petteri Karsikas"/>
    <m/>
    <n v="0"/>
    <n v="45"/>
    <n v="45"/>
    <n v="6"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s v="Essi Kola"/>
    <x v="0"/>
    <s v="1."/>
    <n v="100"/>
    <s v="2."/>
    <n v="80"/>
    <s v="Essi Kola"/>
    <n v="1"/>
    <n v="100"/>
    <s v="Essi Kola"/>
    <m/>
    <n v="0"/>
    <n v="280"/>
    <n v="280"/>
    <n v="1"/>
  </r>
  <r>
    <s v="Ansa Kanala"/>
    <x v="1"/>
    <s v="3."/>
    <n v="60"/>
    <s v="1."/>
    <n v="100"/>
    <s v="Ansa Kanala"/>
    <n v="2"/>
    <n v="80"/>
    <s v="Ansa Kanala"/>
    <n v="2"/>
    <n v="80"/>
    <n v="320"/>
    <n v="260"/>
    <n v="2"/>
  </r>
  <r>
    <s v="_x0009_Pinja Polet"/>
    <x v="2"/>
    <s v="5."/>
    <n v="45"/>
    <s v="3."/>
    <n v="60"/>
    <s v="_x0009_Pinja Polet"/>
    <n v="3"/>
    <n v="60"/>
    <s v="_x0009_Pinja Polet"/>
    <n v="4"/>
    <n v="50"/>
    <n v="215"/>
    <n v="170"/>
    <n v="3"/>
  </r>
  <r>
    <s v="Lilli Eerikäinen"/>
    <x v="3"/>
    <s v="2."/>
    <n v="80"/>
    <m/>
    <n v="0"/>
    <s v="Lilli Eerikäinen"/>
    <m/>
    <n v="0"/>
    <s v="Lilli Eerikäinen"/>
    <n v="1"/>
    <n v="100"/>
    <n v="180"/>
    <n v="180"/>
    <n v="4"/>
  </r>
  <r>
    <s v="Nella Aho"/>
    <x v="4"/>
    <s v="4."/>
    <n v="50"/>
    <m/>
    <n v="0"/>
    <s v="Nella Aho"/>
    <m/>
    <n v="0"/>
    <s v="Nella Aho"/>
    <n v="3"/>
    <n v="60"/>
    <n v="110"/>
    <n v="110"/>
    <n v="5"/>
  </r>
</pivotCacheRecords>
</file>

<file path=xl/pivotCache/pivotCacheRecords9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s v="Mikael Ilmari Karsikas"/>
    <x v="0"/>
    <m/>
    <n v="0"/>
    <s v="1."/>
    <n v="100"/>
    <s v="Mikael Ilmari Karsikas"/>
    <n v="1"/>
    <n v="100"/>
    <s v="Mikael Ilmari Karsikas"/>
    <n v="1"/>
    <n v="100"/>
    <n v="300"/>
    <n v="30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2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4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45F560-3E39-43A5-885F-9D19CF5011F5}" name="Pivot-taulukko18" cacheId="0" applyNumberFormats="0" applyBorderFormats="0" applyFontFormats="0" applyPatternFormats="0" applyAlignmentFormats="0" applyWidthHeightFormats="1" dataCaption="Arvot" updatedVersion="8" minRefreshableVersion="3" useAutoFormatting="1" itemPrintTitles="1" createdVersion="8" indent="0" outline="1" outlineData="1" multipleFieldFilters="0">
  <location ref="B2:C6" firstHeaderRow="1" firstDataRow="1" firstDataCol="1"/>
  <pivotFields count="15"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ma  / Seura pisteet" fld="1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045A6D3-7FB8-4231-8497-A7D4B63859A9}" name="Pivot-taulukko24" cacheId="6" applyNumberFormats="0" applyBorderFormats="0" applyFontFormats="0" applyPatternFormats="0" applyAlignmentFormats="0" applyWidthHeightFormats="1" dataCaption="Arvot" updatedVersion="8" minRefreshableVersion="3" useAutoFormatting="1" itemPrintTitles="1" createdVersion="8" indent="0" outline="1" outlineData="1" multipleFieldFilters="0">
  <location ref="B60:C66" firstHeaderRow="1" firstDataRow="1" firstDataCol="1"/>
  <pivotFields count="15">
    <pivotField showAll="0"/>
    <pivotField axis="axisRow" showAll="0">
      <items count="6">
        <item x="1"/>
        <item x="0"/>
        <item x="3"/>
        <item x="4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ma  / Seurapisteet" fld="1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33D66B-28E5-4073-A9EA-98B694BAEF86}" name="Pivot-taulukko26" cacheId="8" applyNumberFormats="0" applyBorderFormats="0" applyFontFormats="0" applyPatternFormats="0" applyAlignmentFormats="0" applyWidthHeightFormats="1" dataCaption="Arvot" updatedVersion="8" minRefreshableVersion="3" useAutoFormatting="1" itemPrintTitles="1" createdVersion="8" indent="0" outline="1" outlineData="1" multipleFieldFilters="0">
  <location ref="B78:C80" firstHeaderRow="1" firstDataRow="1" firstDataCol="1"/>
  <pivotFields count="15"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1"/>
  </rowFields>
  <rowItems count="2">
    <i>
      <x/>
    </i>
    <i t="grand">
      <x/>
    </i>
  </rowItems>
  <colItems count="1">
    <i/>
  </colItems>
  <dataFields count="1">
    <dataField name="Summa  / Seurapisteet" fld="1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D524C6F-97B3-42C6-B99E-B90992045946}" name="Pivot-taulukko20" cacheId="2" applyNumberFormats="0" applyBorderFormats="0" applyFontFormats="0" applyPatternFormats="0" applyAlignmentFormats="0" applyWidthHeightFormats="1" dataCaption="Arvot" updatedVersion="8" minRefreshableVersion="3" useAutoFormatting="1" itemPrintTitles="1" createdVersion="8" indent="0" outline="1" outlineData="1" multipleFieldFilters="0">
  <location ref="B19:C27" firstHeaderRow="1" firstDataRow="1" firstDataCol="1"/>
  <pivotFields count="15">
    <pivotField showAll="0"/>
    <pivotField axis="axisRow" showAll="0">
      <items count="8">
        <item x="4"/>
        <item x="3"/>
        <item x="6"/>
        <item x="1"/>
        <item x="0"/>
        <item x="2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Summa  / Seurapisteet" fld="1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BFEC892-5887-454F-8F5B-7B05A787B0C2}" name="Pivot-taulukko29" cacheId="11" applyNumberFormats="0" applyBorderFormats="0" applyFontFormats="0" applyPatternFormats="0" applyAlignmentFormats="0" applyWidthHeightFormats="1" dataCaption="Arvot" updatedVersion="8" minRefreshableVersion="3" useAutoFormatting="1" itemPrintTitles="1" createdVersion="8" indent="0" outline="1" outlineData="1" multipleFieldFilters="0">
  <location ref="B101:C108" firstHeaderRow="1" firstDataRow="1" firstDataCol="1"/>
  <pivotFields count="15">
    <pivotField showAll="0"/>
    <pivotField axis="axisRow" showAll="0">
      <items count="7">
        <item x="0"/>
        <item x="1"/>
        <item x="2"/>
        <item x="5"/>
        <item x="4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ma  / Seurapisteet" fld="1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480E005-FB7E-4AA1-B384-5AF98161CCC6}" name="Pivot-taulukko27" cacheId="9" applyNumberFormats="0" applyBorderFormats="0" applyFontFormats="0" applyPatternFormats="0" applyAlignmentFormats="0" applyWidthHeightFormats="1" dataCaption="Arvot" updatedVersion="8" minRefreshableVersion="3" useAutoFormatting="1" itemPrintTitles="1" createdVersion="8" indent="0" outline="1" outlineData="1" multipleFieldFilters="0">
  <location ref="B82:C89" firstHeaderRow="1" firstDataRow="1" firstDataCol="1"/>
  <pivotFields count="15">
    <pivotField showAll="0"/>
    <pivotField axis="axisRow" showAll="0">
      <items count="7">
        <item x="3"/>
        <item x="1"/>
        <item x="2"/>
        <item x="5"/>
        <item x="4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ma  / Seurapisteet" fld="1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1858E4-8430-489C-A21F-B676B0EA78A1}" name="Pivot-taulukko25" cacheId="7" applyNumberFormats="0" applyBorderFormats="0" applyFontFormats="0" applyPatternFormats="0" applyAlignmentFormats="0" applyWidthHeightFormats="1" dataCaption="Arvot" updatedVersion="8" minRefreshableVersion="3" useAutoFormatting="1" itemPrintTitles="1" createdVersion="8" indent="0" outline="1" outlineData="1" multipleFieldFilters="0">
  <location ref="B69:C75" firstHeaderRow="1" firstDataRow="1" firstDataCol="1"/>
  <pivotFields count="15">
    <pivotField showAll="0"/>
    <pivotField axis="axisRow" showAll="0">
      <items count="6">
        <item x="2"/>
        <item x="3"/>
        <item x="1"/>
        <item x="4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ma  / Seurapisteet" fld="1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806E36-7A1C-4D9F-8741-4441B07D8B53}" name="Pivot-taulukko30" cacheId="12" applyNumberFormats="0" applyBorderFormats="0" applyFontFormats="0" applyPatternFormats="0" applyAlignmentFormats="0" applyWidthHeightFormats="1" dataCaption="Arvot" updatedVersion="8" minRefreshableVersion="3" useAutoFormatting="1" itemPrintTitles="1" createdVersion="8" indent="0" outline="1" outlineData="1" multipleFieldFilters="0">
  <location ref="B111:C113" firstHeaderRow="1" firstDataRow="1" firstDataCol="1"/>
  <pivotFields count="15"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1"/>
  </rowFields>
  <rowItems count="2">
    <i>
      <x/>
    </i>
    <i t="grand">
      <x/>
    </i>
  </rowItems>
  <colItems count="1">
    <i/>
  </colItems>
  <dataFields count="1">
    <dataField name="Summa  / Seurapisteet" fld="1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C52C014-7442-4668-9DD3-4BB7B982079D}" name="Pivot-taulukko23" cacheId="5" applyNumberFormats="0" applyBorderFormats="0" applyFontFormats="0" applyPatternFormats="0" applyAlignmentFormats="0" applyWidthHeightFormats="1" dataCaption="Arvot" updatedVersion="8" minRefreshableVersion="3" useAutoFormatting="1" itemPrintTitles="1" createdVersion="8" indent="0" outline="1" outlineData="1" multipleFieldFilters="0">
  <location ref="B52:C58" firstHeaderRow="1" firstDataRow="1" firstDataCol="1"/>
  <pivotFields count="15">
    <pivotField showAll="0"/>
    <pivotField axis="axisRow" showAll="0">
      <items count="6">
        <item x="2"/>
        <item x="4"/>
        <item x="3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ma  / Seurapisteet" fld="1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702DA10-F55B-4FBF-944B-FDAA953278CE}" name="Pivot-taulukko31" cacheId="13" applyNumberFormats="0" applyBorderFormats="0" applyFontFormats="0" applyPatternFormats="0" applyAlignmentFormats="0" applyWidthHeightFormats="1" dataCaption="Arvot" updatedVersion="8" minRefreshableVersion="3" useAutoFormatting="1" itemPrintTitles="1" createdVersion="8" indent="0" outline="1" outlineData="1" multipleFieldFilters="0">
  <location ref="B116:C120" firstHeaderRow="1" firstDataRow="1" firstDataCol="1"/>
  <pivotFields count="15">
    <pivotField showAll="0"/>
    <pivotField axis="axisRow" showAll="0">
      <items count="4">
        <item x="1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ma  / Seurapisteet" fld="1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CF696A4-E1FB-497E-AA29-88CDCE28B484}" name="Pivot-taulukko21" cacheId="3" applyNumberFormats="0" applyBorderFormats="0" applyFontFormats="0" applyPatternFormats="0" applyAlignmentFormats="0" applyWidthHeightFormats="1" dataCaption="Arvot" updatedVersion="8" minRefreshableVersion="3" useAutoFormatting="1" itemPrintTitles="1" createdVersion="8" indent="0" outline="1" outlineData="1" multipleFieldFilters="0">
  <location ref="B29:C39" firstHeaderRow="1" firstDataRow="1" firstDataCol="1"/>
  <pivotFields count="15">
    <pivotField showAll="0"/>
    <pivotField axis="axisRow" showAll="0">
      <items count="10">
        <item x="3"/>
        <item x="6"/>
        <item x="2"/>
        <item x="8"/>
        <item x="4"/>
        <item x="5"/>
        <item x="0"/>
        <item x="1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ma  / Seurapisteet" fld="1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5A1D59F-96D9-4EDA-AD42-C29A86E2E899}" name="Pivot-taulukko22" cacheId="4" applyNumberFormats="0" applyBorderFormats="0" applyFontFormats="0" applyPatternFormats="0" applyAlignmentFormats="0" applyWidthHeightFormats="1" dataCaption="Arvot" updatedVersion="8" minRefreshableVersion="3" useAutoFormatting="1" itemPrintTitles="1" createdVersion="8" indent="0" outline="1" outlineData="1" multipleFieldFilters="0">
  <location ref="B42:C49" firstHeaderRow="1" firstDataRow="1" firstDataCol="1"/>
  <pivotFields count="15">
    <pivotField showAll="0"/>
    <pivotField axis="axisRow" showAll="0">
      <items count="7">
        <item x="1"/>
        <item x="4"/>
        <item x="0"/>
        <item x="2"/>
        <item x="3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ma  / Seurapisteet" fld="1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51BA239-88DD-4896-A973-8E88281C0F71}" name="Pivot-taulukko28" cacheId="10" applyNumberFormats="0" applyBorderFormats="0" applyFontFormats="0" applyPatternFormats="0" applyAlignmentFormats="0" applyWidthHeightFormats="1" dataCaption="Arvot" updatedVersion="8" minRefreshableVersion="3" useAutoFormatting="1" itemPrintTitles="1" createdVersion="8" indent="0" outline="1" outlineData="1" multipleFieldFilters="0">
  <location ref="B91:C99" firstHeaderRow="1" firstDataRow="1" firstDataCol="1"/>
  <pivotFields count="15">
    <pivotField showAll="0"/>
    <pivotField axis="axisRow" showAll="0">
      <items count="8">
        <item x="1"/>
        <item x="4"/>
        <item x="3"/>
        <item x="0"/>
        <item x="2"/>
        <item x="5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Summa  / Seurapisteet" fld="1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472585-41ED-4F28-B11A-6CFC203C7F27}" name="Pivot-taulukko16" cacheId="1" applyNumberFormats="0" applyBorderFormats="0" applyFontFormats="0" applyPatternFormats="0" applyAlignmentFormats="0" applyWidthHeightFormats="1" dataCaption="Arvot" updatedVersion="8" minRefreshableVersion="3" useAutoFormatting="1" itemPrintTitles="1" createdVersion="8" indent="0" outline="1" outlineData="1" multipleFieldFilters="0">
  <location ref="B10:C16" firstHeaderRow="1" firstDataRow="1" firstDataCol="1"/>
  <pivotFields count="15">
    <pivotField showAll="0"/>
    <pivotField axis="axisRow" showAll="0">
      <items count="6">
        <item x="3"/>
        <item x="1"/>
        <item x="0"/>
        <item x="4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ma  / Seurapisteet" fld="1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B54E33-AF36-4BA1-9716-E0046CF74632}" name="Taulukko1" displayName="Taulukko1" ref="E2:F16" totalsRowShown="0">
  <autoFilter ref="E2:F16" xr:uid="{A8B54E33-AF36-4BA1-9716-E0046CF74632}"/>
  <sortState xmlns:xlrd2="http://schemas.microsoft.com/office/spreadsheetml/2017/richdata2" ref="E3:F16">
    <sortCondition descending="1" ref="F2:F16"/>
  </sortState>
  <tableColumns count="2">
    <tableColumn id="1" xr3:uid="{6F65EBC1-BA35-42B4-A587-F7954EE15D05}" name="Seurat" dataDxfId="169"/>
    <tableColumn id="2" xr3:uid="{B0D67BF0-8A97-411C-9A98-89547CCD5559}" name="Pisteet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984CC27-14EC-43C8-B6A0-A54AC7616728}" name="Taulukko14" displayName="Taulukko14" ref="A122:O123" totalsRowShown="0">
  <autoFilter ref="A122:O123" xr:uid="{9984CC27-14EC-43C8-B6A0-A54AC7616728}"/>
  <tableColumns count="15">
    <tableColumn id="1" xr3:uid="{17197293-533C-4341-AB69-453D5DF712ED}" name="Nimi"/>
    <tableColumn id="2" xr3:uid="{7326B2FC-07A6-474C-9D3A-67ECC124E478}" name="Seura"/>
    <tableColumn id="3" xr3:uid="{F9938AF5-032E-40C8-A6CF-F42AC983062A}" name="Sijoitus" dataDxfId="71"/>
    <tableColumn id="4" xr3:uid="{A28DB9F8-D816-4D59-AFAC-248808468647}" name="Pisteet" dataDxfId="70"/>
    <tableColumn id="5" xr3:uid="{3A9A9A49-8A5E-4E83-858D-438911C751F9}" name="Sijoitus2" dataDxfId="69"/>
    <tableColumn id="6" xr3:uid="{68423020-D057-4A63-9266-6A23E980888D}" name="Pisteet2" dataDxfId="68"/>
    <tableColumn id="7" xr3:uid="{F5C62407-8434-4EB1-A3C6-946D658EB709}" name="Nimi2"/>
    <tableColumn id="8" xr3:uid="{E581CA5F-8DA5-4D2B-B548-709C53D084BF}" name="sijoitus3" dataDxfId="67"/>
    <tableColumn id="9" xr3:uid="{F7CD0315-BA2E-4974-80DC-3ECF92099FF9}" name="pisteet3" dataDxfId="66"/>
    <tableColumn id="10" xr3:uid="{1F818390-7B4A-409C-9778-228460E1BDA5}" name="nimi4" dataDxfId="65">
      <calculatedColumnFormula>Taulukko14[[#This Row],[Nimi2]]</calculatedColumnFormula>
    </tableColumn>
    <tableColumn id="11" xr3:uid="{695EFEF8-181F-485F-B3F3-B5421D197705}" name="sijoitus4" dataDxfId="64"/>
    <tableColumn id="12" xr3:uid="{3F071185-0117-4D9F-8CBF-4F5B9843FB90}" name="pisteet4" dataDxfId="63"/>
    <tableColumn id="13" xr3:uid="{8036896F-61BE-4808-86D8-5D7D03682C31}" name="Seurapisteet" dataDxfId="62">
      <calculatedColumnFormula>Taulukko14[[#This Row],[pisteet4]]+Taulukko14[[#This Row],[pisteet3]]+Taulukko14[[#This Row],[Pisteet2]]+Taulukko14[[#This Row],[Pisteet]]</calculatedColumnFormula>
    </tableColumn>
    <tableColumn id="14" xr3:uid="{F7BF417C-324D-429E-8E68-316822445A58}" name="Henkilökohtaiset kokonaispisteet" dataDxfId="61">
      <calculatedColumnFormula>Taulukko14[[#This Row],[Seurapisteet]]-MIN(L123,I123,F123,D123)</calculatedColumnFormula>
    </tableColumn>
    <tableColumn id="15" xr3:uid="{54D97EC9-1E1E-4DF9-894C-C7B4EFC344B1}" name="sijoitus Kp-cup" dataDxfId="60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AC900CE-5499-4472-B2B9-C28E583ED3B1}" name="Taulukko15" displayName="Taulukko15" ref="A129:O135" totalsRowShown="0">
  <autoFilter ref="A129:O135" xr:uid="{4AC900CE-5499-4472-B2B9-C28E583ED3B1}"/>
  <sortState xmlns:xlrd2="http://schemas.microsoft.com/office/spreadsheetml/2017/richdata2" ref="A130:O135">
    <sortCondition descending="1" ref="N129:N135"/>
  </sortState>
  <tableColumns count="15">
    <tableColumn id="1" xr3:uid="{AADB915C-F0D8-4B41-843B-A722743E8605}" name="Nimi"/>
    <tableColumn id="2" xr3:uid="{BB4CA433-5C16-4558-B896-EA6A7FEBE332}" name="Seura"/>
    <tableColumn id="3" xr3:uid="{BBA63364-1602-4427-910B-63FC296F098A}" name="Sijoitus" dataDxfId="59"/>
    <tableColumn id="4" xr3:uid="{A90C2D52-F745-45ED-80B7-1BE28AE6F3A5}" name="Pisteet" dataDxfId="58"/>
    <tableColumn id="5" xr3:uid="{1BCCAF59-1569-4636-8841-9087C7FF34F0}" name="Sijoitus2" dataDxfId="57"/>
    <tableColumn id="6" xr3:uid="{3E5D42E5-9F1F-48FB-89D6-EDF3C307DA1B}" name="Pisteet2" dataDxfId="56"/>
    <tableColumn id="7" xr3:uid="{7FEE015B-7458-4B6C-8D11-22D57766A716}" name="Nimi2"/>
    <tableColumn id="8" xr3:uid="{F464E0DB-2982-43BF-B6CC-F9A11F3B7AF0}" name="sijoitus3" dataDxfId="55"/>
    <tableColumn id="9" xr3:uid="{5B90D5E6-80B7-4CFE-9645-E832CBF9A13F}" name="pisteet3" dataDxfId="54"/>
    <tableColumn id="10" xr3:uid="{D623204E-DD7F-4949-A08C-D37E8408F757}" name="nimi4" dataDxfId="53">
      <calculatedColumnFormula>Taulukko15[[#This Row],[Nimi]]</calculatedColumnFormula>
    </tableColumn>
    <tableColumn id="11" xr3:uid="{FE0FE355-4EE9-4A64-9D25-CA2713159DB0}" name="sijoitus4" dataDxfId="52"/>
    <tableColumn id="12" xr3:uid="{532D1153-2C78-4862-AC5A-BCD17A204E96}" name="pisteet4" dataDxfId="51"/>
    <tableColumn id="13" xr3:uid="{74EE1DDB-9A51-4781-BF53-D6781537DB2D}" name="Seurapisteet" dataDxfId="50">
      <calculatedColumnFormula>Taulukko15[[#This Row],[Pisteet]]+Taulukko15[[#This Row],[Pisteet2]]+Taulukko15[[#This Row],[pisteet3]]+Taulukko15[[#This Row],[pisteet4]]</calculatedColumnFormula>
    </tableColumn>
    <tableColumn id="14" xr3:uid="{8E1B3433-0383-4FE1-8326-EC395CA20DA1}" name="Henkilökohtaiset kokonaispisteet" dataDxfId="49">
      <calculatedColumnFormula>Taulukko15[[#This Row],[Seurapisteet]]-MIN(L130,I130,F130,D130)</calculatedColumnFormula>
    </tableColumn>
    <tableColumn id="15" xr3:uid="{10C8BCB5-B6A3-4318-8CAA-7C9FC8487F21}" name="sijoitus Kp-cup" dataDxfId="48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B3E18CC-D03D-4855-8C65-1FED93344CAA}" name="Taulukko16" displayName="Taulukko16" ref="A141:O148" totalsRowShown="0">
  <autoFilter ref="A141:O148" xr:uid="{6B3E18CC-D03D-4855-8C65-1FED93344CAA}"/>
  <sortState xmlns:xlrd2="http://schemas.microsoft.com/office/spreadsheetml/2017/richdata2" ref="A142:O148">
    <sortCondition descending="1" ref="N141:N148"/>
  </sortState>
  <tableColumns count="15">
    <tableColumn id="1" xr3:uid="{60167B62-6BDD-4400-8FC2-B77D56BD3A3E}" name="Nimi"/>
    <tableColumn id="2" xr3:uid="{C711C57D-E4E3-46F6-B497-3A2D81CFB89A}" name="Seura"/>
    <tableColumn id="3" xr3:uid="{FFFC66DA-058A-41FF-8133-0ABC99A308DA}" name="Sijoitus" dataDxfId="47"/>
    <tableColumn id="4" xr3:uid="{4B9E238B-65C6-4AB2-9DC5-7231785979E5}" name="Pisteet" dataDxfId="46"/>
    <tableColumn id="5" xr3:uid="{3A2A6704-4163-41BF-B28E-A5B66D1E8192}" name="Sijoitus2" dataDxfId="45"/>
    <tableColumn id="6" xr3:uid="{A4491388-BC21-4D6E-8F36-DF73435213BA}" name="Pisteet2" dataDxfId="44"/>
    <tableColumn id="7" xr3:uid="{34105908-FF2B-4B04-9F77-9270BD0DF591}" name="Nimi2"/>
    <tableColumn id="8" xr3:uid="{7D3AF26E-C320-42DD-B2AE-31F3E881BF3D}" name="sijoitus3" dataDxfId="43"/>
    <tableColumn id="9" xr3:uid="{422ABA73-0AB2-4696-8362-541B86E9D018}" name="pisteet3" dataDxfId="42"/>
    <tableColumn id="10" xr3:uid="{FA61F457-3003-4876-A9C3-8BE31C96A154}" name="nimi4" dataDxfId="41">
      <calculatedColumnFormula>Taulukko16[[#This Row],[Nimi]]</calculatedColumnFormula>
    </tableColumn>
    <tableColumn id="11" xr3:uid="{91A4D26E-E888-4FFD-9C49-D10A8C77B895}" name="sijoitus4" dataDxfId="40"/>
    <tableColumn id="12" xr3:uid="{532F85C4-34AC-486C-BF0D-74500C90E71E}" name="pisteet4" dataDxfId="39"/>
    <tableColumn id="13" xr3:uid="{6C1525CC-3B1A-4B11-B00D-08D766B5A5D9}" name="Seurapisteet" dataDxfId="38">
      <calculatedColumnFormula>Taulukko16[[#This Row],[Pisteet]]+Taulukko16[[#This Row],[Pisteet2]]+Taulukko16[[#This Row],[pisteet3]]+Taulukko16[[#This Row],[pisteet4]]</calculatedColumnFormula>
    </tableColumn>
    <tableColumn id="14" xr3:uid="{C95ED574-E84E-4CD1-A3A2-0C322EF3D2C9}" name="Henkilökohtaiset kokonaispisteet" dataDxfId="37">
      <calculatedColumnFormula>Taulukko16[[#This Row],[Seurapisteet]]-MIN(L142,I142,F142,D142)</calculatedColumnFormula>
    </tableColumn>
    <tableColumn id="15" xr3:uid="{F2DCDDF5-33B4-4EA5-9AB6-7DB92DEDE3CC}" name="sijoitus Kp-cup" dataDxfId="36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8C9C66AA-9A65-48B2-8377-1DF197B09465}" name="Taulukko17" displayName="Taulukko17" ref="A154:O161" totalsRowShown="0">
  <autoFilter ref="A154:O161" xr:uid="{8C9C66AA-9A65-48B2-8377-1DF197B09465}"/>
  <sortState xmlns:xlrd2="http://schemas.microsoft.com/office/spreadsheetml/2017/richdata2" ref="A155:O161">
    <sortCondition descending="1" ref="N154:N161"/>
  </sortState>
  <tableColumns count="15">
    <tableColumn id="1" xr3:uid="{061F0FC5-BE4F-46FE-AFA8-19452D3847DD}" name="Nimi"/>
    <tableColumn id="2" xr3:uid="{3F6C1840-022E-4EAC-AD30-DD3411A8C9CF}" name="Seura"/>
    <tableColumn id="3" xr3:uid="{DA26EA02-E8BC-4293-A93B-DD04663D96BB}" name="Sijoitus" dataDxfId="35"/>
    <tableColumn id="4" xr3:uid="{166CAFB6-4041-4F46-8825-78A756892AF5}" name="Pisteet" dataDxfId="34"/>
    <tableColumn id="5" xr3:uid="{BF84F792-513E-444A-9670-50A24E659796}" name="Sijoitus2" dataDxfId="33"/>
    <tableColumn id="6" xr3:uid="{C16564B0-0406-435B-B4FB-979753B38560}" name="Pisteet2" dataDxfId="32"/>
    <tableColumn id="7" xr3:uid="{CF0DAEB0-A7AA-41AA-AB35-5F5DE1701D45}" name="Nimi2"/>
    <tableColumn id="8" xr3:uid="{12729B1B-C869-4CF8-B1A1-19B1E60D06FC}" name="sijoitus3" dataDxfId="31"/>
    <tableColumn id="9" xr3:uid="{B0E10C70-E3FB-48DB-B287-EF634434E6D9}" name="pisteet3" dataDxfId="30"/>
    <tableColumn id="10" xr3:uid="{49AFC092-40F9-4BBF-856E-FDF816802EBB}" name="nimi4" dataDxfId="29">
      <calculatedColumnFormula>Taulukko17[[#This Row],[Nimi]]</calculatedColumnFormula>
    </tableColumn>
    <tableColumn id="11" xr3:uid="{0BB0408A-97C2-42D6-8FAB-6819F48DDCDB}" name="sijoitus4" dataDxfId="28"/>
    <tableColumn id="12" xr3:uid="{F9ACB080-0615-45A7-BEEF-503B1CDE5F48}" name="pisteet4" dataDxfId="27"/>
    <tableColumn id="13" xr3:uid="{DF48E0CD-2788-418B-95CD-E53CEDAAB949}" name="Seurapisteet" dataDxfId="26">
      <calculatedColumnFormula>Taulukko17[[#This Row],[Pisteet]]+Taulukko17[[#This Row],[Pisteet2]]+Taulukko17[[#This Row],[pisteet3]]+Taulukko17[[#This Row],[pisteet4]]</calculatedColumnFormula>
    </tableColumn>
    <tableColumn id="14" xr3:uid="{8EE91C7E-952B-4564-82C5-7E9BFE24925C}" name="Henkilökohtaiset kokonaispisteet" dataDxfId="25">
      <calculatedColumnFormula>Taulukko17[[#This Row],[Seurapisteet]]-MIN(L155,I155,F155,D155)</calculatedColumnFormula>
    </tableColumn>
    <tableColumn id="15" xr3:uid="{A67AF559-71F9-4FFB-A2BC-187E9774D06B}" name="sijoitus Kp-cup" dataDxfId="24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853C5AAA-44A5-49F7-A317-E5FC4EDBE35D}" name="Taulukko18" displayName="Taulukko18" ref="A165:O166" totalsRowShown="0">
  <autoFilter ref="A165:O166" xr:uid="{853C5AAA-44A5-49F7-A317-E5FC4EDBE35D}"/>
  <tableColumns count="15">
    <tableColumn id="1" xr3:uid="{564A34CC-C55A-4942-AA04-571A1958FE76}" name="Nimi"/>
    <tableColumn id="2" xr3:uid="{324A0406-D40E-44FC-B753-C1310D07DCB3}" name="Seura"/>
    <tableColumn id="3" xr3:uid="{437EFE3E-692E-4806-879E-97E58B38B740}" name="Sijoitus" dataDxfId="23"/>
    <tableColumn id="4" xr3:uid="{696346DE-24F4-4F06-867C-2D1A535B9B29}" name="Pisteet" dataDxfId="22"/>
    <tableColumn id="5" xr3:uid="{E73D305E-3DCB-429A-90C8-B1048427E20F}" name="Sijoitus2" dataDxfId="21"/>
    <tableColumn id="6" xr3:uid="{19293A4B-3F02-4E44-BD19-2259F54D18C7}" name="Pisteet2" dataDxfId="20"/>
    <tableColumn id="7" xr3:uid="{48BE1548-701C-4B94-A4E8-4871599A7EA7}" name="Nimi2"/>
    <tableColumn id="8" xr3:uid="{79FEB6A8-3C6F-4D87-B0B2-333E862CBE8C}" name="sijoitus3" dataDxfId="19"/>
    <tableColumn id="9" xr3:uid="{2C5B8D3E-6A82-456E-9325-CC425AD55624}" name="pisteet3" dataDxfId="18"/>
    <tableColumn id="10" xr3:uid="{7A382173-00E8-4EAB-B36F-4AD1D965B148}" name="nimi4" dataDxfId="17"/>
    <tableColumn id="11" xr3:uid="{D2254929-4647-47EF-92CB-DCB4BB288681}" name="sijoitus4" dataDxfId="16"/>
    <tableColumn id="12" xr3:uid="{2D6D82A2-1CEA-4F42-B758-BD349D263F15}" name="pisteet4" dataDxfId="15"/>
    <tableColumn id="13" xr3:uid="{B0BB58A3-8D08-4E92-BE21-9BF4A8976005}" name="Seurapisteet" dataDxfId="14">
      <calculatedColumnFormula>Taulukko18[[#This Row],[pisteet4]]+Taulukko18[[#This Row],[pisteet3]]+Taulukko18[[#This Row],[Pisteet2]]+Taulukko18[[#This Row],[Pisteet]]</calculatedColumnFormula>
    </tableColumn>
    <tableColumn id="14" xr3:uid="{5370A491-8456-4EDE-B6DD-F64D8D83B3F2}" name="Henkilökohtaiset kokonaispisteet" dataDxfId="13">
      <calculatedColumnFormula>Taulukko18[[#This Row],[Seurapisteet]]-MIN(L166,I166,F166,D166)</calculatedColumnFormula>
    </tableColumn>
    <tableColumn id="15" xr3:uid="{E468F8A5-9B26-4A6E-9848-6C76BC6C997B}" name="sijoitus Kp-cup" dataDxfId="12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7BD7A75A-330A-4CD4-B897-02572CBE3CF6}" name="Taulukko19" displayName="Taulukko19" ref="A172:O176" totalsRowShown="0">
  <autoFilter ref="A172:O176" xr:uid="{7BD7A75A-330A-4CD4-B897-02572CBE3CF6}"/>
  <tableColumns count="15">
    <tableColumn id="1" xr3:uid="{44555D07-442A-4C67-9E94-A8D7D1B51335}" name="Nimi"/>
    <tableColumn id="2" xr3:uid="{22998B6C-4EB3-4583-94F5-7BA0FEF97748}" name="Seura"/>
    <tableColumn id="3" xr3:uid="{A1CCF22D-6A80-4378-B847-B2A61FCC5B8C}" name="Sijoitus" dataDxfId="11"/>
    <tableColumn id="4" xr3:uid="{0F41F6CF-289E-40BA-BEB4-C5211374B36C}" name="Pisteet" dataDxfId="10"/>
    <tableColumn id="5" xr3:uid="{8B256FC2-E28E-4843-A099-A295D2C233B0}" name="Sijoitus2" dataDxfId="9"/>
    <tableColumn id="6" xr3:uid="{777E07E5-293F-4DB4-B3ED-1409F0AAEAC6}" name="Pisteet2" dataDxfId="8"/>
    <tableColumn id="7" xr3:uid="{60C72C65-A9E8-495B-8C16-D91C77A06DF4}" name="Nimi2"/>
    <tableColumn id="8" xr3:uid="{AA1DBADD-CCCE-4FF8-8E83-45AFDC545AAF}" name="sijoitus3" dataDxfId="7"/>
    <tableColumn id="9" xr3:uid="{7E547AD2-9004-41F4-A4BE-375FAC0002BA}" name="pisteet3" dataDxfId="6"/>
    <tableColumn id="10" xr3:uid="{E31C3857-DBE3-4215-A561-3DBA20631AB7}" name="nimi4" dataDxfId="5">
      <calculatedColumnFormula>Taulukko19[[#This Row],[Nimi]]</calculatedColumnFormula>
    </tableColumn>
    <tableColumn id="11" xr3:uid="{38712196-FBE7-4D3C-B831-3EE5F7C1B0A0}" name="sijoitus4" dataDxfId="4"/>
    <tableColumn id="12" xr3:uid="{7EC724A9-CF76-41E6-B19F-EC2C2056A15A}" name="pisteet4" dataDxfId="3"/>
    <tableColumn id="13" xr3:uid="{436FA128-7A9B-4859-AB8D-D9D41E288933}" name="Seurapisteet" dataDxfId="2">
      <calculatedColumnFormula>Taulukko19[[#This Row],[pisteet4]]+Taulukko19[[#This Row],[pisteet3]]+Taulukko19[[#This Row],[Pisteet2]]+Taulukko19[[#This Row],[Pisteet]]</calculatedColumnFormula>
    </tableColumn>
    <tableColumn id="14" xr3:uid="{F8B60D9E-AE04-4937-AD9C-38CA86B2F465}" name="Henkilökohtaiset kokonaispisteet" dataDxfId="1">
      <calculatedColumnFormula>Taulukko19[[#This Row],[Seurapisteet]]-MIN(L173,I173,F173,D173)</calculatedColumnFormula>
    </tableColumn>
    <tableColumn id="15" xr3:uid="{6A4B923E-5BAB-4E34-8AD5-6505A6BFE332}" name="sijoitus Kp-cup" dataDxfId="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409849F-13BC-460D-BEC7-8F3184486E37}" name="Taulukko2" displayName="Taulukko2" ref="A4:O9" totalsRowShown="0">
  <autoFilter ref="A4:O9" xr:uid="{0409849F-13BC-460D-BEC7-8F3184486E37}"/>
  <sortState xmlns:xlrd2="http://schemas.microsoft.com/office/spreadsheetml/2017/richdata2" ref="A5:O9">
    <sortCondition descending="1" ref="N4:N9"/>
  </sortState>
  <tableColumns count="15">
    <tableColumn id="1" xr3:uid="{22CB9A67-3866-4394-9DE3-47CED6012D47}" name="nimi"/>
    <tableColumn id="2" xr3:uid="{6D7E3D2F-9D64-4555-9D34-0B5E0EADAB77}" name="seura"/>
    <tableColumn id="3" xr3:uid="{A5B48109-C01A-430C-862C-7802680D7B5A}" name="Sijoitus" dataDxfId="168"/>
    <tableColumn id="4" xr3:uid="{15BB2F31-339B-41CB-B973-B3DC62F5AF5E}" name="Pisteet" dataDxfId="167"/>
    <tableColumn id="5" xr3:uid="{3C8064AB-D3C6-4A60-AFC3-3381D3DA3D00}" name="sijoitus2" dataDxfId="166"/>
    <tableColumn id="6" xr3:uid="{F27862E6-6A73-41BB-AC45-75968D5D21D8}" name="Pisteet3" dataDxfId="165"/>
    <tableColumn id="7" xr3:uid="{62B2F543-DEF8-4CD1-A2A3-3D92A42E5C49}" name="nimi2" dataDxfId="164">
      <calculatedColumnFormula>Taulukko2[[#This Row],[nimi]]</calculatedColumnFormula>
    </tableColumn>
    <tableColumn id="10" xr3:uid="{5B62F081-D834-4C0E-BF5C-D62F5B796799}" name="sijoitus3" dataDxfId="163"/>
    <tableColumn id="11" xr3:uid="{3D4DAF9A-B757-4F3D-8F60-DB138222323E}" name="pisteet2" dataDxfId="162"/>
    <tableColumn id="8" xr3:uid="{D9674104-EF4D-4F16-955A-3D24EA5C6766}" name="nimi3" dataDxfId="161"/>
    <tableColumn id="9" xr3:uid="{B74F2876-A94C-4890-AEB2-9BEE4D798421}" name="sijoitus4" dataDxfId="160"/>
    <tableColumn id="12" xr3:uid="{1EF14BBE-2C22-412E-A269-08A66EC2F5ED}" name="pisteet4" dataDxfId="159"/>
    <tableColumn id="13" xr3:uid="{8EE2F44C-9331-4C9F-8D4B-A11446CD36E7}" name="Seura pisteet" dataDxfId="158">
      <calculatedColumnFormula>Taulukko2[[#This Row],[Pisteet]]+Taulukko2[[#This Row],[Pisteet3]]+Taulukko2[[#This Row],[pisteet4]]+Taulukko2[[#This Row],[pisteet2]]</calculatedColumnFormula>
    </tableColumn>
    <tableColumn id="14" xr3:uid="{8932FEA0-055C-4E2E-9153-55B96D408B9C}" name="Henkilökohtaiset kokonaispisteet" dataDxfId="157">
      <calculatedColumnFormula>Taulukko2[[#This Row],[Seura pisteet]]-MIN(L5,I5,F5,D5)</calculatedColumnFormula>
    </tableColumn>
    <tableColumn id="15" xr3:uid="{F4282C5C-B907-4DFE-B32A-BA61035028A7}" name="sijoitus Kp-cup" dataDxfId="15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8FB3496-FC5E-4212-BF94-26EFC47D257D}" name="Taulukko3" displayName="Taulukko3" ref="A19:O25" totalsRowShown="0">
  <autoFilter ref="A19:O25" xr:uid="{E8FB3496-FC5E-4212-BF94-26EFC47D257D}"/>
  <sortState xmlns:xlrd2="http://schemas.microsoft.com/office/spreadsheetml/2017/richdata2" ref="A20:O25">
    <sortCondition descending="1" ref="N19:N25"/>
  </sortState>
  <tableColumns count="15">
    <tableColumn id="1" xr3:uid="{0EC25F6F-8619-47F7-9092-AEFC6618BAE1}" name="Nimi"/>
    <tableColumn id="2" xr3:uid="{15C6F283-72FE-4FCC-B50E-E4989852D22E}" name="Seura"/>
    <tableColumn id="3" xr3:uid="{8B6F4236-4F2D-4642-9E00-A9FA9789B313}" name="Sijoitus" dataDxfId="155"/>
    <tableColumn id="4" xr3:uid="{72AEDED2-B06D-4911-8938-2AB36644B8EA}" name="Pisteet" dataDxfId="154"/>
    <tableColumn id="5" xr3:uid="{47FF8834-4D48-4F00-949B-29D9FE522911}" name="Sijoitus2" dataDxfId="153"/>
    <tableColumn id="6" xr3:uid="{8E3B8073-CEEF-49A5-B27F-FB74C3F0E021}" name="Pisteet2" dataDxfId="152"/>
    <tableColumn id="7" xr3:uid="{F77A0C69-E631-4EF6-8EA2-07BC5A8F2C76}" name="Nimi4"/>
    <tableColumn id="8" xr3:uid="{3F91F2FB-1CB7-423B-8E73-81F3577BD1AD}" name="sijoitus3" dataDxfId="151"/>
    <tableColumn id="9" xr3:uid="{5163CEDA-F945-4E27-AE51-733279625BCB}" name="pisteet3" dataDxfId="150"/>
    <tableColumn id="10" xr3:uid="{70570DF1-A4F7-4BFE-9704-A626F46598FC}" name="nimi42" dataDxfId="149">
      <calculatedColumnFormula>Taulukko3[[#This Row],[Nimi]]</calculatedColumnFormula>
    </tableColumn>
    <tableColumn id="11" xr3:uid="{A3D560CB-DCA3-44D3-AFAB-BE23EF8DCEED}" name="sijoitus4" dataDxfId="148"/>
    <tableColumn id="12" xr3:uid="{95F4C15F-235F-4EDB-BDEA-14E7FB26FA02}" name="pisteet4" dataDxfId="147"/>
    <tableColumn id="13" xr3:uid="{25C98A59-E7EE-4EE2-A807-F8428E2AFEAF}" name="Seurapisteet" dataDxfId="146">
      <calculatedColumnFormula>Taulukko3[[#This Row],[Pisteet]]+Taulukko3[[#This Row],[Pisteet2]]+Taulukko3[[#This Row],[pisteet3]]+Taulukko3[[#This Row],[pisteet4]]</calculatedColumnFormula>
    </tableColumn>
    <tableColumn id="14" xr3:uid="{5A8AEA55-DD5D-4892-8396-59761650F5B7}" name="Henkilökohtaiset kokonaispisteet" dataDxfId="145">
      <calculatedColumnFormula>Taulukko3[[#This Row],[Seurapisteet]]-MIN(D20,F20,I20,L20)</calculatedColumnFormula>
    </tableColumn>
    <tableColumn id="15" xr3:uid="{D059C0BD-5D73-4B49-B77C-8F6DB3319380}" name="sijoitus Kp-cup" dataDxfId="144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E364D0F-CDA7-4388-8ABF-3AB92F65E180}" name="Taulukko6" displayName="Taulukko6" ref="A29:O43" totalsRowShown="0">
  <autoFilter ref="A29:O43" xr:uid="{5E364D0F-CDA7-4388-8ABF-3AB92F65E180}"/>
  <sortState xmlns:xlrd2="http://schemas.microsoft.com/office/spreadsheetml/2017/richdata2" ref="A30:O43">
    <sortCondition descending="1" ref="N29:N43"/>
  </sortState>
  <tableColumns count="15">
    <tableColumn id="1" xr3:uid="{994CBC92-C905-45C2-B2FB-FA5BA9868FDF}" name="Nimi"/>
    <tableColumn id="2" xr3:uid="{F875F655-964D-4519-A580-474CBD18D5DF}" name="Seura"/>
    <tableColumn id="3" xr3:uid="{1837138C-B8C2-4722-AE90-38756C4C9C48}" name="Sijoitus" dataDxfId="143"/>
    <tableColumn id="4" xr3:uid="{3B87ECBE-7944-4628-AD33-9F027187EAFE}" name="Pisteet" dataDxfId="142"/>
    <tableColumn id="5" xr3:uid="{222BE109-3FD8-4041-934B-07BC98BFA3FF}" name="Sijoitus2" dataDxfId="141"/>
    <tableColumn id="6" xr3:uid="{841BFAA8-40E5-4243-9C75-1E6574939C38}" name="Pisteet2" dataDxfId="140"/>
    <tableColumn id="7" xr3:uid="{92CAE2D8-00CC-47F9-9651-E64FFD647AF5}" name="nimi4"/>
    <tableColumn id="8" xr3:uid="{498A39FB-A6DE-4014-8591-C1CC9D779A1B}" name="sijoitus3" dataDxfId="139"/>
    <tableColumn id="9" xr3:uid="{E21FD5C8-44EB-4EC3-A4AD-B03E3BFB9F5B}" name="pisteet3" dataDxfId="138"/>
    <tableColumn id="10" xr3:uid="{68C01591-9390-4F1B-A8F3-BF8F8AB96C52}" name="nimi42" dataDxfId="137">
      <calculatedColumnFormula>Taulukko6[[#This Row],[Nimi]]</calculatedColumnFormula>
    </tableColumn>
    <tableColumn id="11" xr3:uid="{3B585DBE-616C-4FEF-88E9-938EF30FBCC5}" name="sijoitus4" dataDxfId="136"/>
    <tableColumn id="12" xr3:uid="{AFC0823E-84E5-4BBD-B4E8-2525262BA635}" name="pisteet4" dataDxfId="135"/>
    <tableColumn id="13" xr3:uid="{82028CA6-B427-4BA7-965E-A0447D3EE133}" name="Seurapisteet" dataDxfId="134">
      <calculatedColumnFormula>Taulukko6[[#This Row],[Pisteet]]+Taulukko6[[#This Row],[Pisteet2]]+Taulukko6[[#This Row],[pisteet3]]+Taulukko6[[#This Row],[pisteet4]]</calculatedColumnFormula>
    </tableColumn>
    <tableColumn id="14" xr3:uid="{222F0DBB-879E-44DC-932F-B09079270D1B}" name="Henkilökohtaiset kokonaispisteet" dataDxfId="133">
      <calculatedColumnFormula>Taulukko6[[#This Row],[Seurapisteet]]-MIN(L30,I30,F30,D30)</calculatedColumnFormula>
    </tableColumn>
    <tableColumn id="15" xr3:uid="{E0DE9BFC-57C0-449D-B568-A440CE779DB0}" name="sijoitus Kp-cup" dataDxfId="132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C587663-3962-4061-9DD7-4887ECC210B8}" name="Taulukko11" displayName="Taulukko11" ref="A48:O64" totalsRowShown="0">
  <autoFilter ref="A48:O64" xr:uid="{3C587663-3962-4061-9DD7-4887ECC210B8}"/>
  <sortState xmlns:xlrd2="http://schemas.microsoft.com/office/spreadsheetml/2017/richdata2" ref="A49:O64">
    <sortCondition descending="1" ref="N48:N64"/>
  </sortState>
  <tableColumns count="15">
    <tableColumn id="1" xr3:uid="{5F8DF4B1-0A48-46FA-BCA2-CB146C4C014C}" name="Nimi"/>
    <tableColumn id="2" xr3:uid="{99C3A543-F874-43A4-B741-49288E33F559}" name="Seura"/>
    <tableColumn id="3" xr3:uid="{D57953B7-B02C-4026-8F25-E68BFF8A4D69}" name="Sijoitus" dataDxfId="131"/>
    <tableColumn id="4" xr3:uid="{0D26BA8F-FC3E-4FA0-97A1-166621DA4A94}" name="Pisteet" dataDxfId="130"/>
    <tableColumn id="5" xr3:uid="{6B6BE214-9C83-43B2-8507-7F9006241CE7}" name="Sijoitus2" dataDxfId="129"/>
    <tableColumn id="6" xr3:uid="{FDE766BE-445C-405F-9630-3ADD43660823}" name="Pisteet2" dataDxfId="128"/>
    <tableColumn id="7" xr3:uid="{1184132D-E138-4CCA-9669-1A49A05F31E6}" name="Nimi2"/>
    <tableColumn id="8" xr3:uid="{EEAF7644-D6F3-46BE-AEB6-6E13D246616B}" name="sijoitus3" dataDxfId="127"/>
    <tableColumn id="9" xr3:uid="{CDE15CAC-DF66-4099-B154-FF7873BC2FFD}" name="pisteet3" dataDxfId="126"/>
    <tableColumn id="10" xr3:uid="{3AC8EF81-F4D2-449A-BFD3-321EB9DD27DA}" name="nimi4" dataDxfId="125">
      <calculatedColumnFormula>Taulukko11[[#This Row],[Nimi]]</calculatedColumnFormula>
    </tableColumn>
    <tableColumn id="11" xr3:uid="{F6B50080-9C03-46A8-AE16-E14490A9724C}" name="sijoitus4" dataDxfId="124"/>
    <tableColumn id="12" xr3:uid="{C812E111-C44D-4B9E-B02F-1168214A5AFD}" name="pisteet4" dataDxfId="123"/>
    <tableColumn id="13" xr3:uid="{0431AE30-0FCF-4171-8B7E-C26B13431C00}" name="Seurapisteet" dataDxfId="122">
      <calculatedColumnFormula>Taulukko11[[#This Row],[Pisteet]]+Taulukko11[[#This Row],[Pisteet2]]+Taulukko11[[#This Row],[pisteet3]]+Taulukko11[[#This Row],[pisteet4]]</calculatedColumnFormula>
    </tableColumn>
    <tableColumn id="14" xr3:uid="{BD0AAEF5-62E9-40BD-9B52-D5B4614A0B7D}" name="Henkilökohtaiset kokonaispisteet" dataDxfId="121">
      <calculatedColumnFormula>Taulukko11[[#This Row],[Seurapisteet]]-MIN(L49,I49,F49,D49)</calculatedColumnFormula>
    </tableColumn>
    <tableColumn id="15" xr3:uid="{C806069E-9F08-45DD-B6AD-E872383D85BC}" name="sijoitus Kp-cup" dataDxfId="120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22EB755-74E4-42F8-B69F-AE1398B8F35F}" name="Taulukko4" displayName="Taulukko4" ref="A71:O82" totalsRowShown="0">
  <autoFilter ref="A71:O82" xr:uid="{522EB755-74E4-42F8-B69F-AE1398B8F35F}"/>
  <sortState xmlns:xlrd2="http://schemas.microsoft.com/office/spreadsheetml/2017/richdata2" ref="A72:O82">
    <sortCondition ref="O71:O82"/>
  </sortState>
  <tableColumns count="15">
    <tableColumn id="1" xr3:uid="{D2133E89-7A8F-4906-9FCA-FBD08BD5973E}" name="Nimi"/>
    <tableColumn id="2" xr3:uid="{E79E4DBF-4187-4BD0-9D45-E2C9EAD6D446}" name="Seura"/>
    <tableColumn id="3" xr3:uid="{B37A50AA-6A53-4855-82FD-9EE1050A75CD}" name="Sijoitus" dataDxfId="119"/>
    <tableColumn id="4" xr3:uid="{05B2BB41-672B-495F-8AEA-01A7282D6500}" name="Pisteet" dataDxfId="118"/>
    <tableColumn id="5" xr3:uid="{80DE1830-7D80-449D-93F1-C7582565F4F9}" name="Sijoitus2" dataDxfId="117"/>
    <tableColumn id="6" xr3:uid="{33B98E58-8A3A-44C7-90EC-41777DCEE944}" name="Pisteet2" dataDxfId="116"/>
    <tableColumn id="7" xr3:uid="{F588247C-9F39-4F9D-A44E-8198A7FC9A41}" name="Nimi2"/>
    <tableColumn id="8" xr3:uid="{933141DD-4C5D-4DAE-A940-BBCFE651737B}" name="sijoitus3" dataDxfId="115"/>
    <tableColumn id="9" xr3:uid="{46DF8FEE-7E92-44B5-B8F0-71832795F83D}" name="pisteet3" dataDxfId="114"/>
    <tableColumn id="10" xr3:uid="{1EDFB274-4326-47E2-81BF-203CE53E44F4}" name="nimi4" dataDxfId="113">
      <calculatedColumnFormula>Taulukko4[[#This Row],[Nimi]]</calculatedColumnFormula>
    </tableColumn>
    <tableColumn id="11" xr3:uid="{794E80E2-F985-48AA-955E-CC56201CE759}" name="sijoitus4" dataDxfId="112"/>
    <tableColumn id="12" xr3:uid="{DBFAFDF2-FAE3-44B4-AB7A-410DE608FDAA}" name="pisteet4" dataDxfId="111"/>
    <tableColumn id="13" xr3:uid="{2994A68C-1344-4808-834E-295A4F7032FB}" name="Seurapisteet" dataDxfId="110">
      <calculatedColumnFormula>Taulukko4[[#This Row],[Pisteet]]+Taulukko4[[#This Row],[Pisteet2]]+Taulukko4[[#This Row],[pisteet3]]+Taulukko4[[#This Row],[pisteet4]]</calculatedColumnFormula>
    </tableColumn>
    <tableColumn id="14" xr3:uid="{5B12CEBF-E23F-4072-8769-4DD944EB4B71}" name="Henkilökohtaiset kokonaispisteet" dataDxfId="109">
      <calculatedColumnFormula>Taulukko4[[#This Row],[Seurapisteet]]-MIN(L72,I72,F72,D72)</calculatedColumnFormula>
    </tableColumn>
    <tableColumn id="15" xr3:uid="{D9BBD6E7-F22C-4603-8F8D-206AF12D6F03}" name="sijoitus Kp-cup" dataDxfId="108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DD23A17-AB46-4B28-9426-F5BD9DB8F5FF}" name="Taulukko8" displayName="Taulukko8" ref="A86:O94" totalsRowShown="0">
  <autoFilter ref="A86:O94" xr:uid="{6DD23A17-AB46-4B28-9426-F5BD9DB8F5FF}"/>
  <sortState xmlns:xlrd2="http://schemas.microsoft.com/office/spreadsheetml/2017/richdata2" ref="A87:O94">
    <sortCondition descending="1" ref="N86:N94"/>
  </sortState>
  <tableColumns count="15">
    <tableColumn id="1" xr3:uid="{F4B4D063-F72A-42C3-AEC9-426A6D88404B}" name="Nimi"/>
    <tableColumn id="2" xr3:uid="{8E3ADEAB-61BB-41F6-AE89-5D749BE09814}" name="Seura"/>
    <tableColumn id="3" xr3:uid="{67B39066-45B8-4F2F-9BEF-A7EC41621CFF}" name="Sijoitus" dataDxfId="107"/>
    <tableColumn id="4" xr3:uid="{B715C83A-578E-4CFD-BB33-7FE15705488F}" name="Pisteet" dataDxfId="106"/>
    <tableColumn id="5" xr3:uid="{8DC2FDAE-7F2F-441C-B4BD-2D161E1C1B0C}" name="Sijoitus2" dataDxfId="105"/>
    <tableColumn id="6" xr3:uid="{63A219DC-F43B-4708-9A91-24075C4FB7EC}" name="Pisteet2" dataDxfId="104"/>
    <tableColumn id="7" xr3:uid="{D45808EF-9F46-4344-BEC5-E066F1C8BDE0}" name="Nimi2"/>
    <tableColumn id="8" xr3:uid="{59988151-2CD1-4FD1-A89F-56721C634C6B}" name="sijoitus3" dataDxfId="103"/>
    <tableColumn id="9" xr3:uid="{D8CB20A3-53E7-4A41-B28D-65A1B83B357F}" name="pisteet3" dataDxfId="102"/>
    <tableColumn id="10" xr3:uid="{F1FED6D2-EE3E-41FF-96E1-16DFCB0551FF}" name="nimi4" dataDxfId="101">
      <calculatedColumnFormula>Taulukko8[[#This Row],[Nimi]]</calculatedColumnFormula>
    </tableColumn>
    <tableColumn id="11" xr3:uid="{B7ED1E25-BFDB-487F-B134-74820A40F76C}" name="sijoitus4" dataDxfId="100"/>
    <tableColumn id="12" xr3:uid="{8B132887-4316-40FD-B31C-83984DE0626A}" name="pisteet4" dataDxfId="99"/>
    <tableColumn id="13" xr3:uid="{5E0FF5CD-2FD0-4380-AE49-B42D8CE16E54}" name="Seurapisteet" dataDxfId="98">
      <calculatedColumnFormula>Taulukko8[[#This Row],[pisteet4]]+Taulukko8[[#This Row],[pisteet3]]+Taulukko8[[#This Row],[Pisteet2]]+Taulukko8[[#This Row],[Pisteet]]</calculatedColumnFormula>
    </tableColumn>
    <tableColumn id="14" xr3:uid="{21F2D932-0139-496E-9AE1-2D9855089C06}" name="Henkilökohtaiset kokonaispisteet" dataDxfId="97">
      <calculatedColumnFormula>Taulukko8[[#This Row],[Seurapisteet]]-MIN(L87,I87,F87,D87)</calculatedColumnFormula>
    </tableColumn>
    <tableColumn id="15" xr3:uid="{59F168C4-6F80-4D74-90BC-5E82D55785D6}" name="sijoitus Kp-cup" dataDxfId="96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51E6FED-0C22-4052-B4DB-1A55E9CBCF6C}" name="Taulukko9" displayName="Taulukko9" ref="A100:O106" totalsRowShown="0">
  <autoFilter ref="A100:O106" xr:uid="{F51E6FED-0C22-4052-B4DB-1A55E9CBCF6C}"/>
  <sortState xmlns:xlrd2="http://schemas.microsoft.com/office/spreadsheetml/2017/richdata2" ref="A101:O106">
    <sortCondition descending="1" ref="N100:N106"/>
  </sortState>
  <tableColumns count="15">
    <tableColumn id="1" xr3:uid="{DD953B66-3547-4CE0-ACE0-3BB528CC1E2C}" name="Nimi"/>
    <tableColumn id="2" xr3:uid="{78E24000-EDF9-4D9F-AE51-9464EAF98091}" name="Seura"/>
    <tableColumn id="3" xr3:uid="{24C2A193-008D-441A-8878-ACA6CF402DE6}" name="Sijoitus" dataDxfId="95"/>
    <tableColumn id="4" xr3:uid="{F5C50EBB-2EB1-49DA-9366-180A540B29A9}" name="Pisteet" dataDxfId="94"/>
    <tableColumn id="5" xr3:uid="{B7660C60-25C1-41AA-BAB3-5CDBD4F11711}" name="Sijoitus2" dataDxfId="93"/>
    <tableColumn id="6" xr3:uid="{F5F3CF2F-2514-4CD2-B72D-0D3B51C23747}" name="Pisteet2" dataDxfId="92"/>
    <tableColumn id="7" xr3:uid="{CAFB1ED9-EC05-4427-86D1-A2F92362DC96}" name="Nimi2"/>
    <tableColumn id="8" xr3:uid="{EF94A813-E42A-41C9-A56B-F3FC049D9A3B}" name="sijoitus3" dataDxfId="91"/>
    <tableColumn id="9" xr3:uid="{7B63E36E-E575-4FC4-92C8-A90B4946BC8A}" name="pisteet3" dataDxfId="90"/>
    <tableColumn id="10" xr3:uid="{EBE02DE8-01FC-4514-9C88-8EB022173374}" name="nimi4" dataDxfId="89">
      <calculatedColumnFormula>Taulukko9[[#This Row],[Nimi]]</calculatedColumnFormula>
    </tableColumn>
    <tableColumn id="11" xr3:uid="{A4F00C34-CA7F-4457-A8D2-67745E4CC50F}" name="sijoitus4" dataDxfId="88"/>
    <tableColumn id="12" xr3:uid="{2AEB7583-9345-4244-8317-BD0E89BFAADC}" name="pisteet4" dataDxfId="87"/>
    <tableColumn id="13" xr3:uid="{9BEE3C58-3EDB-4F67-A425-A08B24F92F99}" name="Seurapisteet" dataDxfId="86">
      <calculatedColumnFormula>Taulukko9[[#This Row],[Pisteet]]+Taulukko9[[#This Row],[Pisteet2]]+Taulukko9[[#This Row],[pisteet3]]+Taulukko9[[#This Row],[pisteet4]]</calculatedColumnFormula>
    </tableColumn>
    <tableColumn id="14" xr3:uid="{5E519C62-9C8B-4B3D-B0FF-6BC6E07EA68F}" name="Henkilökohtaiset kokonaispisteet" dataDxfId="85">
      <calculatedColumnFormula>Taulukko9[[#This Row],[Seurapisteet]]-MIN(L101,I101,F101,D101)</calculatedColumnFormula>
    </tableColumn>
    <tableColumn id="15" xr3:uid="{209BCF94-1AC8-4566-ACD8-7B6F2CEE407C}" name="sijoitus Kp-cup" dataDxfId="84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2F6549B-D199-499A-99A0-7F482CFDA4EC}" name="Taulukko13" displayName="Taulukko13" ref="A111:O116" totalsRowShown="0">
  <autoFilter ref="A111:O116" xr:uid="{E2F6549B-D199-499A-99A0-7F482CFDA4EC}"/>
  <sortState xmlns:xlrd2="http://schemas.microsoft.com/office/spreadsheetml/2017/richdata2" ref="A112:O116">
    <sortCondition ref="O111:O116"/>
  </sortState>
  <tableColumns count="15">
    <tableColumn id="1" xr3:uid="{48D88C1B-D14F-484A-B73A-58BBB66DF902}" name="Nimi"/>
    <tableColumn id="2" xr3:uid="{A70427A2-2A6D-4C58-AB65-7D7B4F66584D}" name="Seura"/>
    <tableColumn id="3" xr3:uid="{171022B7-0F5C-43D2-862A-81A85DC0DC0B}" name="Sijoitus" dataDxfId="83"/>
    <tableColumn id="4" xr3:uid="{D82231C5-C162-4D38-9F9F-89CF42757180}" name="Pisteet" dataDxfId="82"/>
    <tableColumn id="5" xr3:uid="{A6F21077-38FC-456D-94A8-2779375AFED8}" name="Sijoitus2" dataDxfId="81"/>
    <tableColumn id="6" xr3:uid="{6D580D72-8A3A-4341-84B3-38CDCC1F81BB}" name="Pisteet2" dataDxfId="80"/>
    <tableColumn id="7" xr3:uid="{9D8E959E-58EF-4F33-9C8F-2C2835368B69}" name="Nimi2"/>
    <tableColumn id="8" xr3:uid="{484BFC68-16BF-4883-A40F-E700A2FF83E9}" name="sijoitus3" dataDxfId="79"/>
    <tableColumn id="9" xr3:uid="{3A76BF45-03D4-47F6-8239-049FC78D22B0}" name="pisteet3" dataDxfId="78"/>
    <tableColumn id="10" xr3:uid="{417F5A69-5791-4256-9A8E-0111B19073E6}" name="nimi4" dataDxfId="77">
      <calculatedColumnFormula>Taulukko13[[#This Row],[Nimi]]</calculatedColumnFormula>
    </tableColumn>
    <tableColumn id="11" xr3:uid="{F9FF9250-39C9-49FF-8D28-50B8BEB69166}" name="sijoitus4" dataDxfId="76"/>
    <tableColumn id="12" xr3:uid="{1C680EA1-095E-4786-A4A5-ABD71930E26A}" name="pisteet4" dataDxfId="75"/>
    <tableColumn id="13" xr3:uid="{DA6FF69A-7955-4D85-A499-EE3DD91897DE}" name="Seurapisteet" dataDxfId="74">
      <calculatedColumnFormula>Taulukko13[[#This Row],[Pisteet]]+Taulukko13[[#This Row],[Pisteet2]]+Taulukko13[[#This Row],[pisteet3]]+Taulukko13[[#This Row],[pisteet4]]</calculatedColumnFormula>
    </tableColumn>
    <tableColumn id="14" xr3:uid="{12982BD4-22C4-4893-8690-D5C93B73AB4F}" name="Henkilökohtaiset kokonaispisteet" dataDxfId="73">
      <calculatedColumnFormula>Taulukko13[[#This Row],[Seurapisteet]]-MIN(L112,I112,F112,D112)</calculatedColumnFormula>
    </tableColumn>
    <tableColumn id="15" xr3:uid="{CF9D8455-745F-41CD-B757-FBAE2891C26A}" name="sijoitus Kp-cup" dataDxfId="7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13" Type="http://schemas.openxmlformats.org/officeDocument/2006/relationships/pivotTable" Target="../pivotTables/pivotTable13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12" Type="http://schemas.openxmlformats.org/officeDocument/2006/relationships/pivotTable" Target="../pivotTables/pivotTable1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5" Type="http://schemas.openxmlformats.org/officeDocument/2006/relationships/pivotTable" Target="../pivotTables/pivotTable5.xml"/><Relationship Id="rId15" Type="http://schemas.openxmlformats.org/officeDocument/2006/relationships/table" Target="../tables/table1.xml"/><Relationship Id="rId10" Type="http://schemas.openxmlformats.org/officeDocument/2006/relationships/pivotTable" Target="../pivotTables/pivotTable10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Relationship Id="rId14" Type="http://schemas.openxmlformats.org/officeDocument/2006/relationships/pivotTable" Target="../pivotTables/pivotTable1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397AC-3549-4865-A88C-D39EC25E1901}">
  <dimension ref="A1:J120"/>
  <sheetViews>
    <sheetView workbookViewId="0">
      <selection activeCell="K17" sqref="K17"/>
    </sheetView>
  </sheetViews>
  <sheetFormatPr defaultRowHeight="14.5" x14ac:dyDescent="0.35"/>
  <cols>
    <col min="1" max="1" width="17.453125" bestFit="1" customWidth="1"/>
    <col min="2" max="2" width="20.54296875" customWidth="1"/>
    <col min="3" max="3" width="20" bestFit="1" customWidth="1"/>
    <col min="5" max="5" width="24" customWidth="1"/>
    <col min="9" max="9" width="21.08984375" customWidth="1"/>
  </cols>
  <sheetData>
    <row r="1" spans="1:10" ht="48.5" customHeight="1" x14ac:dyDescent="0.5">
      <c r="A1" s="13" t="s">
        <v>216</v>
      </c>
      <c r="B1" s="13"/>
      <c r="C1" s="13"/>
      <c r="E1" s="12" t="s">
        <v>215</v>
      </c>
      <c r="F1" s="12"/>
    </row>
    <row r="2" spans="1:10" x14ac:dyDescent="0.35">
      <c r="A2" t="s">
        <v>199</v>
      </c>
      <c r="B2" s="11" t="s">
        <v>200</v>
      </c>
      <c r="C2" t="s">
        <v>198</v>
      </c>
      <c r="E2" t="s">
        <v>195</v>
      </c>
      <c r="F2" t="s">
        <v>0</v>
      </c>
      <c r="H2" t="s">
        <v>214</v>
      </c>
      <c r="I2" t="s">
        <v>2</v>
      </c>
      <c r="J2" t="s">
        <v>0</v>
      </c>
    </row>
    <row r="3" spans="1:10" x14ac:dyDescent="0.35">
      <c r="B3" s="10" t="s">
        <v>5</v>
      </c>
      <c r="C3">
        <v>830</v>
      </c>
      <c r="E3" t="s">
        <v>5</v>
      </c>
      <c r="F3">
        <f>GETPIVOTDATA("Seura pisteet",$B$2,"seura","Himangan Urheilijat")+GETPIVOTDATA("Seurapisteet",$B$10,"Seura","Himangan Urheilijat")+GETPIVOTDATA("Seurapisteet",$B$19,"Seura","Himangan Urheilijat")+GETPIVOTDATA("Seurapisteet",$B$29,"Seura","	Himangan Urheilijat")+GETPIVOTDATA("Seurapisteet",$B$42,"Seura","Himangan Urheilijat")+GETPIVOTDATA("Seurapisteet",$B$60,"Seura","Himangan Urheilijat")+GETPIVOTDATA("Seurapisteet",$B$82,"Seura","	Himangan Urheilijat")+GETPIVOTDATA("Seurapisteet",$B$91,"Seura","Himangan Urheilijat")+J6</f>
        <v>2735</v>
      </c>
      <c r="I3" t="s">
        <v>11</v>
      </c>
      <c r="J3">
        <v>190</v>
      </c>
    </row>
    <row r="4" spans="1:10" x14ac:dyDescent="0.35">
      <c r="B4" s="10" t="s">
        <v>8</v>
      </c>
      <c r="C4">
        <v>120</v>
      </c>
      <c r="E4" s="10" t="s">
        <v>51</v>
      </c>
      <c r="F4">
        <f>GETPIVOTDATA("Seurapisteet",$B$10,"Seura","Haapajärven Kiilat")+GETPIVOTDATA("Seurapisteet",$B$29,"Seura","Haapajärven Kiilat")+GETPIVOTDATA("Seurapisteet",$B$42,"Seura","Haapajärven Kiilat")+GETPIVOTDATA("Seurapisteet",$B$52,"Seura","	Haapajärven Kiilat")+GETPIVOTDATA("Seurapisteet",$B$82,"Seura","Haapajärven Kiilat")+GETPIVOTDATA("Seurapisteet",$B$91,"Seura","	Haapajärven Kiilat")+GETPIVOTDATA("Seurapisteet",$B$101,"Seura","Haapajärven Kiilat")+J5</f>
        <v>2263</v>
      </c>
      <c r="I4" t="s">
        <v>82</v>
      </c>
      <c r="J4">
        <v>90</v>
      </c>
    </row>
    <row r="5" spans="1:10" x14ac:dyDescent="0.35">
      <c r="B5" s="10" t="s">
        <v>11</v>
      </c>
      <c r="C5">
        <v>60</v>
      </c>
      <c r="E5" t="s">
        <v>11</v>
      </c>
      <c r="F5">
        <f>GETPIVOTDATA("Seura pisteet",$B$2,"seura","Reisjärven Pilke")+GETPIVOTDATA("Seurapisteet",$B$10,"Seura","Reisjärven Pilke")+GETPIVOTDATA("Seurapisteet",$B$19,"Seura","Reisjärven Pilke")+GETPIVOTDATA("Seurapisteet",$B$29,"Seura","Reisjärven Pilke")+GETPIVOTDATA("Seurapisteet",$B$42,"Seura","Reisjärven Pilke")+GETPIVOTDATA("Seurapisteet",$B$52,"Seura","	Reisjärven Pilke")+GETPIVOTDATA("Seurapisteet",$B$69,"Seura","	Reisjärven Pilke")+GETPIVOTDATA("Seurapisteet",$B$91,"Seura","Reisjärven Pilke")+GETPIVOTDATA("Seurapisteet",$B$101,"Seura","Reisjärven Pilke")+GETPIVOTDATA("Seurapisteet",$B$116,"Seura","Reisjärven Pilke")+J3</f>
        <v>2149</v>
      </c>
      <c r="I5" t="s">
        <v>51</v>
      </c>
      <c r="J5">
        <v>95</v>
      </c>
    </row>
    <row r="6" spans="1:10" x14ac:dyDescent="0.35">
      <c r="B6" s="10" t="s">
        <v>201</v>
      </c>
      <c r="C6">
        <v>1010</v>
      </c>
      <c r="E6" t="s">
        <v>8</v>
      </c>
      <c r="F6">
        <f>GETPIVOTDATA("Seura pisteet",$B$2,"seura","Kalajoen Junkkarit")+GETPIVOTDATA("Seurapisteet",$B$19,"Seura","Kalajoen Junkkarit")+GETPIVOTDATA("Seurapisteet",$B$29,"Seura","	Kalajoen Junkkarit")+GETPIVOTDATA("Seurapisteet",$B$42,"Seura","Kalajoen Junkkarit")+GETPIVOTDATA("Seurapisteet",$B$60,"Seura","Kalajoen Junkkarit")+GETPIVOTDATA("Seurapisteet",$B$69,"Seura","	Kalajoen Junkkarit")+GETPIVOTDATA("Seurapisteet",$B$82,"Seura","Kalajoen Junkkarit")+J8</f>
        <v>2086</v>
      </c>
      <c r="I6" t="s">
        <v>5</v>
      </c>
      <c r="J6">
        <v>130</v>
      </c>
    </row>
    <row r="7" spans="1:10" x14ac:dyDescent="0.35">
      <c r="E7" s="10" t="s">
        <v>64</v>
      </c>
      <c r="F7">
        <f>GETPIVOTDATA("Seurapisteet",$B$19,"Seura","Kokkolan Veikot")+GETPIVOTDATA("Seurapisteet",$B$29,"Seura","Kokkolan Veikot")+GETPIVOTDATA("Seurapisteet",$B$42,"Seura","Kokkolan Veikot")+GETPIVOTDATA("Seurapisteet",$B$52,"Seura","Kokkolan Veikot")+GETPIVOTDATA("Seurapisteet",$B$60,"Seura","Kokkolan Veikot")+GETPIVOTDATA("Seurapisteet",$B$82,"Seura","Kokkolan Veikot")+GETPIVOTDATA("Seurapisteet",$B$91,"Seura","Kokkolan Veikot")+GETPIVOTDATA("Seurapisteet",$B$101,"Seura","Kokkolan Veikot")+GETPIVOTDATA("Seurapisteet",$B$116,"Seura","Kokkolan Veikot")+J10</f>
        <v>1959</v>
      </c>
      <c r="I7" t="s">
        <v>8</v>
      </c>
      <c r="J7">
        <v>90</v>
      </c>
    </row>
    <row r="8" spans="1:10" x14ac:dyDescent="0.35">
      <c r="E8" s="10" t="s">
        <v>67</v>
      </c>
      <c r="F8">
        <f>GETPIVOTDATA("Seurapisteet",$B$19,"Seura","	Ylivieskan Kuula")+GETPIVOTDATA("Seurapisteet",$B$19,"Seura","Ylivieskan Kuula")+GETPIVOTDATA("Seurapisteet",$B$29,"Seura","Ylivieskan Kuula")+GETPIVOTDATA("Seurapisteet",$B$52,"Seura","Ylivieskan Kuula")+GETPIVOTDATA("Seurapisteet",$B$60,"Seura","Ylivieskan Kuula")+GETPIVOTDATA("Seurapisteet",$B$101,"Seura","Ylivieskan Kuula")+GETPIVOTDATA("Seurapisteet",$B$111,"Seura","Ylivieskan Kuula")+J8</f>
        <v>1775</v>
      </c>
      <c r="I8" t="s">
        <v>100</v>
      </c>
      <c r="J8">
        <v>90</v>
      </c>
    </row>
    <row r="9" spans="1:10" x14ac:dyDescent="0.35">
      <c r="E9" s="10" t="s">
        <v>123</v>
      </c>
      <c r="F9">
        <f>GETPIVOTDATA("Seurapisteet",$B$52,"Seura","Kaustisen Pohjan-Veikot")+GETPIVOTDATA("Seurapisteet",$B$69,"Seura","Kaustisen Pohjan-Veikot")+GETPIVOTDATA("Seurapisteet",$B$69,"Seura","Kaustisen Pohjan-Veikot	")+GETPIVOTDATA("Seurapisteet",$B$82,"Seura","Kaustisen Pohjan-Veikot")+GETPIVOTDATA("Seurapisteet",$B$101,"Seura","Kaustisen Pohjan-Veikot")+J9</f>
        <v>1160</v>
      </c>
      <c r="I9" t="s">
        <v>123</v>
      </c>
      <c r="J9">
        <v>50</v>
      </c>
    </row>
    <row r="10" spans="1:10" x14ac:dyDescent="0.35">
      <c r="A10" t="s">
        <v>49</v>
      </c>
      <c r="B10" s="11" t="s">
        <v>200</v>
      </c>
      <c r="C10" t="s">
        <v>202</v>
      </c>
      <c r="E10" s="10" t="s">
        <v>94</v>
      </c>
      <c r="F10">
        <f>GETPIVOTDATA("Seurapisteet",$B$29,"Seura","Halsuan Toivo")+GETPIVOTDATA("Seurapisteet",$B$69,"Seura","Halsuan Toivo")+GETPIVOTDATA("Seurapisteet",$B$82,"Seura","Halsuan Toivo")+GETPIVOTDATA("Seurapisteet",$B$101,"Seura","Halsuan Toivo")+J10</f>
        <v>960</v>
      </c>
      <c r="I10" t="s">
        <v>64</v>
      </c>
      <c r="J10">
        <v>50</v>
      </c>
    </row>
    <row r="11" spans="1:10" x14ac:dyDescent="0.35">
      <c r="B11" s="10" t="s">
        <v>55</v>
      </c>
      <c r="C11">
        <v>180</v>
      </c>
      <c r="E11" s="10" t="s">
        <v>112</v>
      </c>
      <c r="F11">
        <f>GETPIVOTDATA("Seurapisteet",$B$29,"Seura","Nivalan Urheilijat ")+GETPIVOTDATA("Seurapisteet",$B$42,"Seura","Nivalan Urheilijat")+GETPIVOTDATA("Seurapisteet",$B$60,"Seura","Nivalan Urheilijat")+GETPIVOTDATA("Seurapisteet",$B$78,"Seura","Nivalan Urheilijat")+GETPIVOTDATA("Seurapisteet",$B$91,"Seura","Nivalan Urheilijat")</f>
        <v>919</v>
      </c>
      <c r="I11" t="s">
        <v>94</v>
      </c>
      <c r="J11">
        <v>40</v>
      </c>
    </row>
    <row r="12" spans="1:10" x14ac:dyDescent="0.35">
      <c r="B12" s="10" t="s">
        <v>51</v>
      </c>
      <c r="C12">
        <v>320</v>
      </c>
      <c r="E12" t="s">
        <v>82</v>
      </c>
      <c r="F12">
        <f>GETPIVOTDATA("Seurapisteet",$B$10,"Seura","	Vetelin Urheilijat")+GETPIVOTDATA("Seurapisteet",$B$19,"Seura","	Vetelin Urheilijat")+GETPIVOTDATA("Seurapisteet",$B$29,"Seura","Vetelin Urheilijat")+J4</f>
        <v>788</v>
      </c>
    </row>
    <row r="13" spans="1:10" x14ac:dyDescent="0.35">
      <c r="B13" s="10" t="s">
        <v>5</v>
      </c>
      <c r="C13">
        <v>330</v>
      </c>
      <c r="E13" s="10" t="s">
        <v>168</v>
      </c>
      <c r="F13">
        <f>GETPIVOTDATA("Seurapisteet",$B$116,"Seura","Kinnulan Kinuski Team")</f>
        <v>300</v>
      </c>
    </row>
    <row r="14" spans="1:10" x14ac:dyDescent="0.35">
      <c r="B14" s="10" t="s">
        <v>57</v>
      </c>
      <c r="C14">
        <v>50</v>
      </c>
      <c r="E14" s="10" t="s">
        <v>151</v>
      </c>
      <c r="F14">
        <f>GETPIVOTDATA("Seurapisteet",$B$91,"Seura","Perhon Kiri")</f>
        <v>270</v>
      </c>
    </row>
    <row r="15" spans="1:10" x14ac:dyDescent="0.35">
      <c r="B15" s="10" t="s">
        <v>11</v>
      </c>
      <c r="C15">
        <v>230</v>
      </c>
      <c r="E15" s="10" t="s">
        <v>213</v>
      </c>
      <c r="F15">
        <f>GETPIVOTDATA("Seurapisteet",$B$91,"Seura","Sievin Sisu ")</f>
        <v>60</v>
      </c>
    </row>
    <row r="16" spans="1:10" x14ac:dyDescent="0.35">
      <c r="B16" s="10" t="s">
        <v>201</v>
      </c>
      <c r="C16">
        <v>1110</v>
      </c>
      <c r="E16" s="10" t="s">
        <v>57</v>
      </c>
      <c r="F16">
        <f>GETPIVOTDATA("Seurapisteet",$B$10,"Seura","Kannuksen Ura")</f>
        <v>50</v>
      </c>
    </row>
    <row r="19" spans="1:3" x14ac:dyDescent="0.35">
      <c r="A19" t="s">
        <v>61</v>
      </c>
      <c r="B19" s="11" t="s">
        <v>200</v>
      </c>
      <c r="C19" t="s">
        <v>202</v>
      </c>
    </row>
    <row r="20" spans="1:3" x14ac:dyDescent="0.35">
      <c r="B20" s="10" t="s">
        <v>55</v>
      </c>
      <c r="C20">
        <v>113</v>
      </c>
    </row>
    <row r="21" spans="1:3" x14ac:dyDescent="0.35">
      <c r="B21" s="10" t="s">
        <v>67</v>
      </c>
      <c r="C21">
        <v>417</v>
      </c>
    </row>
    <row r="22" spans="1:3" x14ac:dyDescent="0.35">
      <c r="B22" s="10" t="s">
        <v>5</v>
      </c>
      <c r="C22">
        <v>40</v>
      </c>
    </row>
    <row r="23" spans="1:3" x14ac:dyDescent="0.35">
      <c r="B23" s="10" t="s">
        <v>8</v>
      </c>
      <c r="C23">
        <v>529</v>
      </c>
    </row>
    <row r="24" spans="1:3" x14ac:dyDescent="0.35">
      <c r="B24" s="10" t="s">
        <v>64</v>
      </c>
      <c r="C24">
        <v>300</v>
      </c>
    </row>
    <row r="25" spans="1:3" x14ac:dyDescent="0.35">
      <c r="B25" s="10" t="s">
        <v>11</v>
      </c>
      <c r="C25">
        <v>146</v>
      </c>
    </row>
    <row r="26" spans="1:3" x14ac:dyDescent="0.35">
      <c r="B26" s="10" t="s">
        <v>100</v>
      </c>
      <c r="C26">
        <v>80</v>
      </c>
    </row>
    <row r="27" spans="1:3" x14ac:dyDescent="0.35">
      <c r="B27" s="10" t="s">
        <v>201</v>
      </c>
      <c r="C27">
        <v>1625</v>
      </c>
    </row>
    <row r="29" spans="1:3" x14ac:dyDescent="0.35">
      <c r="A29" t="s">
        <v>203</v>
      </c>
      <c r="B29" s="11" t="s">
        <v>200</v>
      </c>
      <c r="C29" t="s">
        <v>202</v>
      </c>
    </row>
    <row r="30" spans="1:3" x14ac:dyDescent="0.35">
      <c r="B30" s="10" t="s">
        <v>86</v>
      </c>
      <c r="C30">
        <v>388</v>
      </c>
    </row>
    <row r="31" spans="1:3" x14ac:dyDescent="0.35">
      <c r="B31" s="10" t="s">
        <v>74</v>
      </c>
      <c r="C31">
        <v>97</v>
      </c>
    </row>
    <row r="32" spans="1:3" x14ac:dyDescent="0.35">
      <c r="B32" s="10" t="s">
        <v>51</v>
      </c>
      <c r="C32">
        <v>483</v>
      </c>
    </row>
    <row r="33" spans="1:3" x14ac:dyDescent="0.35">
      <c r="B33" s="10" t="s">
        <v>94</v>
      </c>
      <c r="C33">
        <v>20</v>
      </c>
    </row>
    <row r="34" spans="1:3" x14ac:dyDescent="0.35">
      <c r="B34" s="10" t="s">
        <v>64</v>
      </c>
      <c r="C34">
        <v>203</v>
      </c>
    </row>
    <row r="35" spans="1:3" x14ac:dyDescent="0.35">
      <c r="B35" s="10" t="s">
        <v>97</v>
      </c>
      <c r="C35">
        <v>74</v>
      </c>
    </row>
    <row r="36" spans="1:3" x14ac:dyDescent="0.35">
      <c r="B36" s="10" t="s">
        <v>11</v>
      </c>
      <c r="C36">
        <v>380</v>
      </c>
    </row>
    <row r="37" spans="1:3" x14ac:dyDescent="0.35">
      <c r="B37" s="10" t="s">
        <v>82</v>
      </c>
      <c r="C37">
        <v>405</v>
      </c>
    </row>
    <row r="38" spans="1:3" x14ac:dyDescent="0.35">
      <c r="B38" s="10" t="s">
        <v>100</v>
      </c>
      <c r="C38">
        <v>22</v>
      </c>
    </row>
    <row r="39" spans="1:3" x14ac:dyDescent="0.35">
      <c r="B39" s="10" t="s">
        <v>201</v>
      </c>
      <c r="C39">
        <v>2072</v>
      </c>
    </row>
    <row r="42" spans="1:3" x14ac:dyDescent="0.35">
      <c r="A42" t="s">
        <v>102</v>
      </c>
      <c r="B42" s="11" t="s">
        <v>200</v>
      </c>
      <c r="C42" t="s">
        <v>202</v>
      </c>
    </row>
    <row r="43" spans="1:3" x14ac:dyDescent="0.35">
      <c r="B43" s="10" t="s">
        <v>51</v>
      </c>
      <c r="C43">
        <v>340</v>
      </c>
    </row>
    <row r="44" spans="1:3" x14ac:dyDescent="0.35">
      <c r="B44" s="10" t="s">
        <v>5</v>
      </c>
      <c r="C44">
        <v>212</v>
      </c>
    </row>
    <row r="45" spans="1:3" x14ac:dyDescent="0.35">
      <c r="B45" s="10" t="s">
        <v>8</v>
      </c>
      <c r="C45">
        <v>655</v>
      </c>
    </row>
    <row r="46" spans="1:3" x14ac:dyDescent="0.35">
      <c r="B46" s="10" t="s">
        <v>64</v>
      </c>
      <c r="C46">
        <v>265</v>
      </c>
    </row>
    <row r="47" spans="1:3" x14ac:dyDescent="0.35">
      <c r="B47" s="10" t="s">
        <v>112</v>
      </c>
      <c r="C47">
        <v>120</v>
      </c>
    </row>
    <row r="48" spans="1:3" x14ac:dyDescent="0.35">
      <c r="B48" s="10" t="s">
        <v>11</v>
      </c>
      <c r="C48">
        <v>116</v>
      </c>
    </row>
    <row r="49" spans="1:3" x14ac:dyDescent="0.35">
      <c r="B49" s="10" t="s">
        <v>201</v>
      </c>
      <c r="C49">
        <v>1708</v>
      </c>
    </row>
    <row r="52" spans="1:3" x14ac:dyDescent="0.35">
      <c r="A52" t="s">
        <v>204</v>
      </c>
      <c r="B52" s="11" t="s">
        <v>200</v>
      </c>
      <c r="C52" t="s">
        <v>202</v>
      </c>
    </row>
    <row r="53" spans="1:3" x14ac:dyDescent="0.35">
      <c r="B53" s="10" t="s">
        <v>117</v>
      </c>
      <c r="C53">
        <v>185</v>
      </c>
    </row>
    <row r="54" spans="1:3" x14ac:dyDescent="0.35">
      <c r="B54" s="10" t="s">
        <v>119</v>
      </c>
      <c r="C54">
        <v>262</v>
      </c>
    </row>
    <row r="55" spans="1:3" x14ac:dyDescent="0.35">
      <c r="B55" s="10" t="s">
        <v>123</v>
      </c>
      <c r="C55">
        <v>170</v>
      </c>
    </row>
    <row r="56" spans="1:3" x14ac:dyDescent="0.35">
      <c r="B56" s="10" t="s">
        <v>64</v>
      </c>
      <c r="C56">
        <v>300</v>
      </c>
    </row>
    <row r="57" spans="1:3" x14ac:dyDescent="0.35">
      <c r="B57" s="10" t="s">
        <v>100</v>
      </c>
      <c r="C57">
        <v>436</v>
      </c>
    </row>
    <row r="58" spans="1:3" x14ac:dyDescent="0.35">
      <c r="B58" s="10" t="s">
        <v>201</v>
      </c>
      <c r="C58">
        <v>1353</v>
      </c>
    </row>
    <row r="60" spans="1:3" x14ac:dyDescent="0.35">
      <c r="A60" t="s">
        <v>205</v>
      </c>
      <c r="B60" s="11" t="s">
        <v>200</v>
      </c>
      <c r="C60" t="s">
        <v>202</v>
      </c>
    </row>
    <row r="61" spans="1:3" x14ac:dyDescent="0.35">
      <c r="B61" s="10" t="s">
        <v>5</v>
      </c>
      <c r="C61">
        <v>480</v>
      </c>
    </row>
    <row r="62" spans="1:3" x14ac:dyDescent="0.35">
      <c r="B62" s="10" t="s">
        <v>8</v>
      </c>
      <c r="C62">
        <v>340</v>
      </c>
    </row>
    <row r="63" spans="1:3" x14ac:dyDescent="0.35">
      <c r="B63" s="10" t="s">
        <v>64</v>
      </c>
      <c r="C63">
        <v>100</v>
      </c>
    </row>
    <row r="64" spans="1:3" x14ac:dyDescent="0.35">
      <c r="B64" s="10" t="s">
        <v>112</v>
      </c>
      <c r="C64">
        <v>45</v>
      </c>
    </row>
    <row r="65" spans="1:3" x14ac:dyDescent="0.35">
      <c r="B65" s="10" t="s">
        <v>100</v>
      </c>
      <c r="C65">
        <v>190</v>
      </c>
    </row>
    <row r="66" spans="1:3" x14ac:dyDescent="0.35">
      <c r="B66" s="10" t="s">
        <v>201</v>
      </c>
      <c r="C66">
        <v>1155</v>
      </c>
    </row>
    <row r="69" spans="1:3" x14ac:dyDescent="0.35">
      <c r="A69" t="s">
        <v>206</v>
      </c>
      <c r="B69" s="11" t="s">
        <v>200</v>
      </c>
      <c r="C69" t="s">
        <v>202</v>
      </c>
    </row>
    <row r="70" spans="1:3" x14ac:dyDescent="0.35">
      <c r="B70" s="10" t="s">
        <v>74</v>
      </c>
      <c r="C70">
        <v>215</v>
      </c>
    </row>
    <row r="71" spans="1:3" x14ac:dyDescent="0.35">
      <c r="B71" s="10" t="s">
        <v>119</v>
      </c>
      <c r="C71">
        <v>180</v>
      </c>
    </row>
    <row r="72" spans="1:3" x14ac:dyDescent="0.35">
      <c r="B72" s="10" t="s">
        <v>94</v>
      </c>
      <c r="C72">
        <v>320</v>
      </c>
    </row>
    <row r="73" spans="1:3" x14ac:dyDescent="0.35">
      <c r="B73" s="10" t="s">
        <v>123</v>
      </c>
      <c r="C73">
        <v>110</v>
      </c>
    </row>
    <row r="74" spans="1:3" x14ac:dyDescent="0.35">
      <c r="B74" s="10" t="s">
        <v>133</v>
      </c>
      <c r="C74">
        <v>280</v>
      </c>
    </row>
    <row r="75" spans="1:3" x14ac:dyDescent="0.35">
      <c r="B75" s="10" t="s">
        <v>201</v>
      </c>
      <c r="C75">
        <v>1105</v>
      </c>
    </row>
    <row r="78" spans="1:3" x14ac:dyDescent="0.35">
      <c r="A78" t="s">
        <v>207</v>
      </c>
      <c r="B78" s="11" t="s">
        <v>200</v>
      </c>
      <c r="C78" t="s">
        <v>202</v>
      </c>
    </row>
    <row r="79" spans="1:3" x14ac:dyDescent="0.35">
      <c r="B79" s="10" t="s">
        <v>112</v>
      </c>
      <c r="C79">
        <v>300</v>
      </c>
    </row>
    <row r="80" spans="1:3" x14ac:dyDescent="0.35">
      <c r="B80" s="10" t="s">
        <v>201</v>
      </c>
      <c r="C80">
        <v>300</v>
      </c>
    </row>
    <row r="82" spans="1:3" x14ac:dyDescent="0.35">
      <c r="A82" t="s">
        <v>208</v>
      </c>
      <c r="B82" s="11" t="s">
        <v>200</v>
      </c>
      <c r="C82" t="s">
        <v>202</v>
      </c>
    </row>
    <row r="83" spans="1:3" x14ac:dyDescent="0.35">
      <c r="B83" s="10" t="s">
        <v>86</v>
      </c>
      <c r="C83">
        <v>230</v>
      </c>
    </row>
    <row r="84" spans="1:3" x14ac:dyDescent="0.35">
      <c r="B84" s="10" t="s">
        <v>51</v>
      </c>
      <c r="C84">
        <v>320</v>
      </c>
    </row>
    <row r="85" spans="1:3" x14ac:dyDescent="0.35">
      <c r="B85" s="10" t="s">
        <v>94</v>
      </c>
      <c r="C85">
        <v>290</v>
      </c>
    </row>
    <row r="86" spans="1:3" x14ac:dyDescent="0.35">
      <c r="B86" s="10" t="s">
        <v>8</v>
      </c>
      <c r="C86">
        <v>40</v>
      </c>
    </row>
    <row r="87" spans="1:3" x14ac:dyDescent="0.35">
      <c r="B87" s="10" t="s">
        <v>123</v>
      </c>
      <c r="C87">
        <v>150</v>
      </c>
    </row>
    <row r="88" spans="1:3" x14ac:dyDescent="0.35">
      <c r="B88" s="10" t="s">
        <v>64</v>
      </c>
      <c r="C88">
        <v>305</v>
      </c>
    </row>
    <row r="89" spans="1:3" x14ac:dyDescent="0.35">
      <c r="B89" s="10" t="s">
        <v>201</v>
      </c>
      <c r="C89">
        <v>1335</v>
      </c>
    </row>
    <row r="91" spans="1:3" x14ac:dyDescent="0.35">
      <c r="A91" t="s">
        <v>209</v>
      </c>
      <c r="B91" s="11" t="s">
        <v>200</v>
      </c>
      <c r="C91" t="s">
        <v>202</v>
      </c>
    </row>
    <row r="92" spans="1:3" x14ac:dyDescent="0.35">
      <c r="B92" s="10" t="s">
        <v>117</v>
      </c>
      <c r="C92">
        <v>240</v>
      </c>
    </row>
    <row r="93" spans="1:3" x14ac:dyDescent="0.35">
      <c r="B93" s="10" t="s">
        <v>5</v>
      </c>
      <c r="C93">
        <v>95</v>
      </c>
    </row>
    <row r="94" spans="1:3" x14ac:dyDescent="0.35">
      <c r="B94" s="10" t="s">
        <v>64</v>
      </c>
      <c r="C94">
        <v>136</v>
      </c>
    </row>
    <row r="95" spans="1:3" x14ac:dyDescent="0.35">
      <c r="B95" s="10" t="s">
        <v>112</v>
      </c>
      <c r="C95">
        <v>380</v>
      </c>
    </row>
    <row r="96" spans="1:3" x14ac:dyDescent="0.35">
      <c r="B96" s="10" t="s">
        <v>151</v>
      </c>
      <c r="C96">
        <v>270</v>
      </c>
    </row>
    <row r="97" spans="1:3" x14ac:dyDescent="0.35">
      <c r="B97" s="10" t="s">
        <v>11</v>
      </c>
      <c r="C97">
        <v>85</v>
      </c>
    </row>
    <row r="98" spans="1:3" x14ac:dyDescent="0.35">
      <c r="B98" s="10" t="s">
        <v>156</v>
      </c>
      <c r="C98">
        <v>60</v>
      </c>
    </row>
    <row r="99" spans="1:3" x14ac:dyDescent="0.35">
      <c r="B99" s="10" t="s">
        <v>201</v>
      </c>
      <c r="C99">
        <v>1266</v>
      </c>
    </row>
    <row r="101" spans="1:3" x14ac:dyDescent="0.35">
      <c r="A101" t="s">
        <v>210</v>
      </c>
      <c r="B101" s="11" t="s">
        <v>200</v>
      </c>
      <c r="C101" t="s">
        <v>202</v>
      </c>
    </row>
    <row r="102" spans="1:3" x14ac:dyDescent="0.35">
      <c r="B102" s="10" t="s">
        <v>51</v>
      </c>
      <c r="C102">
        <v>280</v>
      </c>
    </row>
    <row r="103" spans="1:3" x14ac:dyDescent="0.35">
      <c r="B103" s="10" t="s">
        <v>94</v>
      </c>
      <c r="C103">
        <v>280</v>
      </c>
    </row>
    <row r="104" spans="1:3" x14ac:dyDescent="0.35">
      <c r="B104" s="10" t="s">
        <v>123</v>
      </c>
      <c r="C104">
        <v>400</v>
      </c>
    </row>
    <row r="105" spans="1:3" x14ac:dyDescent="0.35">
      <c r="B105" s="10" t="s">
        <v>64</v>
      </c>
      <c r="C105">
        <v>50</v>
      </c>
    </row>
    <row r="106" spans="1:3" x14ac:dyDescent="0.35">
      <c r="B106" s="10" t="s">
        <v>11</v>
      </c>
      <c r="C106">
        <v>100</v>
      </c>
    </row>
    <row r="107" spans="1:3" x14ac:dyDescent="0.35">
      <c r="B107" s="10" t="s">
        <v>100</v>
      </c>
      <c r="C107">
        <v>140</v>
      </c>
    </row>
    <row r="108" spans="1:3" x14ac:dyDescent="0.35">
      <c r="B108" s="10" t="s">
        <v>201</v>
      </c>
      <c r="C108">
        <v>1250</v>
      </c>
    </row>
    <row r="111" spans="1:3" x14ac:dyDescent="0.35">
      <c r="A111" t="s">
        <v>211</v>
      </c>
      <c r="B111" s="11" t="s">
        <v>200</v>
      </c>
      <c r="C111" t="s">
        <v>202</v>
      </c>
    </row>
    <row r="112" spans="1:3" x14ac:dyDescent="0.35">
      <c r="B112" s="10" t="s">
        <v>100</v>
      </c>
      <c r="C112">
        <v>400</v>
      </c>
    </row>
    <row r="113" spans="1:3" x14ac:dyDescent="0.35">
      <c r="B113" s="10" t="s">
        <v>201</v>
      </c>
      <c r="C113">
        <v>400</v>
      </c>
    </row>
    <row r="116" spans="1:3" x14ac:dyDescent="0.35">
      <c r="A116" t="s">
        <v>212</v>
      </c>
      <c r="B116" s="11" t="s">
        <v>200</v>
      </c>
      <c r="C116" t="s">
        <v>202</v>
      </c>
    </row>
    <row r="117" spans="1:3" x14ac:dyDescent="0.35">
      <c r="B117" s="10" t="s">
        <v>168</v>
      </c>
      <c r="C117">
        <v>300</v>
      </c>
    </row>
    <row r="118" spans="1:3" x14ac:dyDescent="0.35">
      <c r="B118" s="10" t="s">
        <v>64</v>
      </c>
      <c r="C118">
        <v>250</v>
      </c>
    </row>
    <row r="119" spans="1:3" x14ac:dyDescent="0.35">
      <c r="B119" s="10" t="s">
        <v>11</v>
      </c>
      <c r="C119">
        <v>400</v>
      </c>
    </row>
    <row r="120" spans="1:3" x14ac:dyDescent="0.35">
      <c r="B120" s="10" t="s">
        <v>201</v>
      </c>
      <c r="C120">
        <v>950</v>
      </c>
    </row>
  </sheetData>
  <mergeCells count="2">
    <mergeCell ref="E1:F1"/>
    <mergeCell ref="A1:C1"/>
  </mergeCells>
  <pageMargins left="0.7" right="0.7" top="0.75" bottom="0.75" header="0.3" footer="0.3"/>
  <tableParts count="1">
    <tablePart r:id="rId1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E07EB-59CB-4E57-8846-04E90C2B4F6A}">
  <dimension ref="A2:O187"/>
  <sheetViews>
    <sheetView tabSelected="1" topLeftCell="A60" zoomScale="70" zoomScaleNormal="70" workbookViewId="0">
      <selection activeCell="R115" sqref="R115"/>
    </sheetView>
  </sheetViews>
  <sheetFormatPr defaultRowHeight="14.5" x14ac:dyDescent="0.35"/>
  <cols>
    <col min="1" max="1" width="19.36328125" customWidth="1"/>
    <col min="2" max="2" width="21.1796875" customWidth="1"/>
    <col min="3" max="3" width="12.36328125" style="3" customWidth="1"/>
    <col min="4" max="4" width="9.81640625" style="3" customWidth="1"/>
    <col min="5" max="5" width="11.90625" style="3" customWidth="1"/>
    <col min="6" max="6" width="13" style="3" customWidth="1"/>
    <col min="7" max="7" width="18.81640625" customWidth="1"/>
    <col min="8" max="8" width="8.26953125" style="3" customWidth="1"/>
    <col min="9" max="9" width="10.453125" style="3" customWidth="1"/>
    <col min="10" max="10" width="19.08984375" style="10" customWidth="1"/>
    <col min="11" max="11" width="8.7265625" style="3" customWidth="1"/>
    <col min="12" max="12" width="13.54296875" style="3" customWidth="1"/>
    <col min="13" max="13" width="14.81640625" style="3" customWidth="1"/>
    <col min="14" max="14" width="32.6328125" style="3" customWidth="1"/>
    <col min="15" max="15" width="20.90625" style="3" customWidth="1"/>
  </cols>
  <sheetData>
    <row r="2" spans="1:15" x14ac:dyDescent="0.35">
      <c r="B2" t="s">
        <v>6</v>
      </c>
    </row>
    <row r="3" spans="1:15" x14ac:dyDescent="0.35">
      <c r="C3" s="3" t="s">
        <v>44</v>
      </c>
      <c r="E3" s="3" t="s">
        <v>43</v>
      </c>
      <c r="H3" s="3" t="s">
        <v>172</v>
      </c>
      <c r="K3" s="3" t="s">
        <v>181</v>
      </c>
      <c r="M3" s="3" t="s">
        <v>186</v>
      </c>
    </row>
    <row r="4" spans="1:15" x14ac:dyDescent="0.35">
      <c r="A4" t="s">
        <v>45</v>
      </c>
      <c r="B4" t="s">
        <v>46</v>
      </c>
      <c r="C4" s="3" t="s">
        <v>3</v>
      </c>
      <c r="D4" s="3" t="s">
        <v>0</v>
      </c>
      <c r="E4" s="3" t="s">
        <v>47</v>
      </c>
      <c r="F4" s="3" t="s">
        <v>48</v>
      </c>
      <c r="G4" t="s">
        <v>171</v>
      </c>
      <c r="H4" s="3" t="s">
        <v>173</v>
      </c>
      <c r="I4" s="3" t="s">
        <v>174</v>
      </c>
      <c r="J4" s="10" t="s">
        <v>182</v>
      </c>
      <c r="K4" s="3" t="s">
        <v>183</v>
      </c>
      <c r="L4" s="3" t="s">
        <v>184</v>
      </c>
      <c r="M4" s="3" t="s">
        <v>189</v>
      </c>
      <c r="N4" s="3" t="s">
        <v>188</v>
      </c>
      <c r="O4" s="3" t="s">
        <v>185</v>
      </c>
    </row>
    <row r="5" spans="1:15" ht="17" customHeight="1" x14ac:dyDescent="0.35">
      <c r="A5" s="1" t="s">
        <v>4</v>
      </c>
      <c r="B5" t="s">
        <v>5</v>
      </c>
      <c r="C5" s="3" t="s">
        <v>13</v>
      </c>
      <c r="D5" s="3">
        <v>100</v>
      </c>
      <c r="E5" s="3" t="s">
        <v>13</v>
      </c>
      <c r="F5" s="3">
        <v>100</v>
      </c>
      <c r="G5" t="str">
        <f>Taulukko2[[#This Row],[nimi]]</f>
        <v>Toivo Kyösti</v>
      </c>
      <c r="H5" s="3" t="s">
        <v>13</v>
      </c>
      <c r="I5" s="8">
        <v>100</v>
      </c>
      <c r="J5" s="10" t="s">
        <v>4</v>
      </c>
      <c r="K5" s="5">
        <v>2</v>
      </c>
      <c r="L5" s="3">
        <v>80</v>
      </c>
      <c r="M5" s="3">
        <f>Taulukko2[[#This Row],[Pisteet]]+Taulukko2[[#This Row],[Pisteet3]]+Taulukko2[[#This Row],[pisteet4]]+Taulukko2[[#This Row],[pisteet2]]</f>
        <v>380</v>
      </c>
      <c r="N5" s="3">
        <f>Taulukko2[[#This Row],[Seura pisteet]]-MIN(L5,I5,F5,D5)</f>
        <v>300</v>
      </c>
      <c r="O5" s="3">
        <v>1</v>
      </c>
    </row>
    <row r="6" spans="1:15" x14ac:dyDescent="0.35">
      <c r="A6" t="s">
        <v>10</v>
      </c>
      <c r="B6" t="s">
        <v>5</v>
      </c>
      <c r="C6" s="3" t="s">
        <v>16</v>
      </c>
      <c r="D6" s="3">
        <v>50</v>
      </c>
      <c r="E6" s="3" t="s">
        <v>14</v>
      </c>
      <c r="F6" s="3">
        <v>80</v>
      </c>
      <c r="G6" t="str">
        <f>Taulukko2[[#This Row],[nimi]]</f>
        <v>Veikko Aarnio</v>
      </c>
      <c r="I6" s="3">
        <v>0</v>
      </c>
      <c r="J6" s="10" t="s">
        <v>10</v>
      </c>
      <c r="K6" s="5">
        <v>1</v>
      </c>
      <c r="L6" s="3">
        <v>100</v>
      </c>
      <c r="M6" s="3">
        <f>Taulukko2[[#This Row],[Pisteet]]+Taulukko2[[#This Row],[Pisteet3]]+Taulukko2[[#This Row],[pisteet4]]+Taulukko2[[#This Row],[pisteet2]]</f>
        <v>230</v>
      </c>
      <c r="N6" s="3">
        <f>Taulukko2[[#This Row],[Seura pisteet]]-MIN(L6,I6,F6,D6)</f>
        <v>230</v>
      </c>
      <c r="O6" s="3">
        <v>2</v>
      </c>
    </row>
    <row r="7" spans="1:15" x14ac:dyDescent="0.35">
      <c r="A7" t="s">
        <v>9</v>
      </c>
      <c r="B7" t="s">
        <v>5</v>
      </c>
      <c r="C7" s="3" t="s">
        <v>14</v>
      </c>
      <c r="D7" s="3">
        <v>80</v>
      </c>
      <c r="E7" s="3" t="s">
        <v>15</v>
      </c>
      <c r="F7" s="3">
        <v>60</v>
      </c>
      <c r="G7" t="str">
        <f>Taulukko2[[#This Row],[nimi]]</f>
        <v>Aarne Ruusunen</v>
      </c>
      <c r="H7" s="3" t="s">
        <v>14</v>
      </c>
      <c r="I7" s="3">
        <v>80</v>
      </c>
      <c r="J7" s="10" t="s">
        <v>9</v>
      </c>
      <c r="K7" s="5"/>
      <c r="L7" s="3">
        <v>0</v>
      </c>
      <c r="M7" s="3">
        <f>Taulukko2[[#This Row],[Pisteet]]+Taulukko2[[#This Row],[Pisteet3]]+Taulukko2[[#This Row],[pisteet4]]+Taulukko2[[#This Row],[pisteet2]]</f>
        <v>220</v>
      </c>
      <c r="N7" s="3">
        <f>Taulukko2[[#This Row],[Seura pisteet]]-MIN(L7,I7,F7,D7)</f>
        <v>220</v>
      </c>
      <c r="O7" s="3">
        <v>3</v>
      </c>
    </row>
    <row r="8" spans="1:15" x14ac:dyDescent="0.35">
      <c r="A8" t="s">
        <v>7</v>
      </c>
      <c r="B8" t="s">
        <v>8</v>
      </c>
      <c r="C8" s="3" t="s">
        <v>15</v>
      </c>
      <c r="D8" s="3">
        <v>60</v>
      </c>
      <c r="F8" s="3">
        <v>0</v>
      </c>
      <c r="G8" t="str">
        <f>Taulukko2[[#This Row],[nimi]]</f>
        <v>Verneri Hietala</v>
      </c>
      <c r="H8" s="3" t="s">
        <v>15</v>
      </c>
      <c r="I8" s="3">
        <v>60</v>
      </c>
      <c r="J8" s="10" t="s">
        <v>7</v>
      </c>
      <c r="K8" s="5"/>
      <c r="L8" s="3">
        <v>0</v>
      </c>
      <c r="M8" s="3">
        <f>Taulukko2[[#This Row],[Pisteet]]+Taulukko2[[#This Row],[Pisteet3]]+Taulukko2[[#This Row],[pisteet4]]+Taulukko2[[#This Row],[pisteet2]]</f>
        <v>120</v>
      </c>
      <c r="N8" s="3">
        <f>Taulukko2[[#This Row],[Seura pisteet]]-MIN(L8,I8,F8,D8)</f>
        <v>120</v>
      </c>
      <c r="O8" s="3">
        <v>4</v>
      </c>
    </row>
    <row r="9" spans="1:15" x14ac:dyDescent="0.35">
      <c r="A9" t="s">
        <v>190</v>
      </c>
      <c r="B9" t="s">
        <v>11</v>
      </c>
      <c r="D9" s="3">
        <v>0</v>
      </c>
      <c r="F9" s="3">
        <v>0</v>
      </c>
      <c r="G9" t="str">
        <f>Taulukko2[[#This Row],[nimi]]</f>
        <v>Otso Lokkila</v>
      </c>
      <c r="I9" s="3">
        <v>0</v>
      </c>
      <c r="J9" s="10" t="s">
        <v>190</v>
      </c>
      <c r="K9" s="5">
        <v>3</v>
      </c>
      <c r="L9" s="3">
        <v>60</v>
      </c>
      <c r="M9" s="3">
        <f>Taulukko2[[#This Row],[Pisteet]]+Taulukko2[[#This Row],[Pisteet3]]+Taulukko2[[#This Row],[pisteet4]]+Taulukko2[[#This Row],[pisteet2]]</f>
        <v>60</v>
      </c>
      <c r="N9" s="3">
        <f>Taulukko2[[#This Row],[Seura pisteet]]-MIN(L9,I9,F9,D9)</f>
        <v>60</v>
      </c>
      <c r="O9" s="3">
        <v>5</v>
      </c>
    </row>
    <row r="11" spans="1:15" x14ac:dyDescent="0.35">
      <c r="K11" s="10"/>
      <c r="L11" s="10"/>
      <c r="M11" s="10"/>
      <c r="N11" s="10"/>
      <c r="O11" s="10"/>
    </row>
    <row r="12" spans="1:15" x14ac:dyDescent="0.35">
      <c r="K12" s="10"/>
      <c r="L12" s="10"/>
      <c r="M12" s="10"/>
      <c r="N12" s="10"/>
      <c r="O12" s="10"/>
    </row>
    <row r="16" spans="1:15" x14ac:dyDescent="0.35">
      <c r="B16" t="s">
        <v>49</v>
      </c>
    </row>
    <row r="18" spans="1:15" x14ac:dyDescent="0.35">
      <c r="C18" s="3" t="s">
        <v>44</v>
      </c>
      <c r="E18" s="3" t="s">
        <v>43</v>
      </c>
      <c r="H18" s="3" t="s">
        <v>172</v>
      </c>
      <c r="K18" s="3" t="s">
        <v>181</v>
      </c>
      <c r="M18" s="3" t="s">
        <v>186</v>
      </c>
    </row>
    <row r="19" spans="1:15" x14ac:dyDescent="0.35">
      <c r="A19" t="s">
        <v>1</v>
      </c>
      <c r="B19" t="s">
        <v>2</v>
      </c>
      <c r="C19" s="3" t="s">
        <v>3</v>
      </c>
      <c r="D19" s="3" t="s">
        <v>0</v>
      </c>
      <c r="E19" s="3" t="s">
        <v>58</v>
      </c>
      <c r="F19" s="3" t="s">
        <v>62</v>
      </c>
      <c r="G19" t="s">
        <v>59</v>
      </c>
      <c r="H19" s="3" t="s">
        <v>173</v>
      </c>
      <c r="I19" s="3" t="s">
        <v>175</v>
      </c>
      <c r="J19" s="10" t="s">
        <v>191</v>
      </c>
      <c r="K19" s="3" t="s">
        <v>183</v>
      </c>
      <c r="L19" s="3" t="s">
        <v>184</v>
      </c>
      <c r="M19" s="3" t="s">
        <v>187</v>
      </c>
      <c r="N19" s="3" t="s">
        <v>188</v>
      </c>
      <c r="O19" s="3" t="s">
        <v>185</v>
      </c>
    </row>
    <row r="20" spans="1:15" x14ac:dyDescent="0.35">
      <c r="A20" t="s">
        <v>52</v>
      </c>
      <c r="B20" t="s">
        <v>5</v>
      </c>
      <c r="C20" s="3" t="s">
        <v>14</v>
      </c>
      <c r="D20" s="3">
        <v>80</v>
      </c>
      <c r="E20" s="3" t="s">
        <v>13</v>
      </c>
      <c r="F20" s="3">
        <v>100</v>
      </c>
      <c r="G20" t="s">
        <v>52</v>
      </c>
      <c r="H20" s="3">
        <v>1</v>
      </c>
      <c r="I20" s="3">
        <v>100</v>
      </c>
      <c r="J20" s="10" t="str">
        <f>Taulukko3[[#This Row],[Nimi]]</f>
        <v xml:space="preserve">	Adessa Oja</v>
      </c>
      <c r="L20" s="3">
        <v>0</v>
      </c>
      <c r="M20" s="3">
        <f>Taulukko3[[#This Row],[Pisteet]]+Taulukko3[[#This Row],[Pisteet2]]+Taulukko3[[#This Row],[pisteet3]]+Taulukko3[[#This Row],[pisteet4]]</f>
        <v>280</v>
      </c>
      <c r="N20" s="3">
        <f>Taulukko3[[#This Row],[Seurapisteet]]-MIN(D20,F20,I20,L20)</f>
        <v>280</v>
      </c>
      <c r="O20" s="3">
        <v>1</v>
      </c>
    </row>
    <row r="21" spans="1:15" x14ac:dyDescent="0.35">
      <c r="A21" t="s">
        <v>50</v>
      </c>
      <c r="B21" t="s">
        <v>51</v>
      </c>
      <c r="C21" s="3" t="s">
        <v>13</v>
      </c>
      <c r="D21" s="3">
        <v>100</v>
      </c>
      <c r="E21" s="3" t="s">
        <v>15</v>
      </c>
      <c r="F21" s="3">
        <v>60</v>
      </c>
      <c r="G21" t="s">
        <v>50</v>
      </c>
      <c r="H21" s="3">
        <v>2</v>
      </c>
      <c r="I21" s="3">
        <v>80</v>
      </c>
      <c r="J21" s="10" t="str">
        <f>Taulukko3[[#This Row],[Nimi]]</f>
        <v>Elli Pietikäinen</v>
      </c>
      <c r="K21" s="3">
        <v>2</v>
      </c>
      <c r="L21" s="3">
        <v>80</v>
      </c>
      <c r="M21" s="3">
        <f>Taulukko3[[#This Row],[Pisteet]]+Taulukko3[[#This Row],[Pisteet2]]+Taulukko3[[#This Row],[pisteet3]]+Taulukko3[[#This Row],[pisteet4]]</f>
        <v>320</v>
      </c>
      <c r="N21" s="3">
        <f>Taulukko3[[#This Row],[Seurapisteet]]-MIN(D21,F21,I21,L21)</f>
        <v>260</v>
      </c>
      <c r="O21" s="3">
        <v>2</v>
      </c>
    </row>
    <row r="22" spans="1:15" x14ac:dyDescent="0.35">
      <c r="A22" t="s">
        <v>53</v>
      </c>
      <c r="B22" t="s">
        <v>11</v>
      </c>
      <c r="C22" s="3" t="s">
        <v>16</v>
      </c>
      <c r="D22" s="3">
        <v>50</v>
      </c>
      <c r="E22" s="3" t="s">
        <v>14</v>
      </c>
      <c r="F22" s="3">
        <v>80</v>
      </c>
      <c r="G22" t="s">
        <v>53</v>
      </c>
      <c r="I22" s="3">
        <v>0</v>
      </c>
      <c r="J22" s="10" t="str">
        <f>Taulukko3[[#This Row],[Nimi]]</f>
        <v>Sohvi Marjamaa</v>
      </c>
      <c r="K22" s="3">
        <v>1</v>
      </c>
      <c r="L22" s="3">
        <v>100</v>
      </c>
      <c r="M22" s="3">
        <f>Taulukko3[[#This Row],[Pisteet]]+Taulukko3[[#This Row],[Pisteet2]]+Taulukko3[[#This Row],[pisteet3]]+Taulukko3[[#This Row],[pisteet4]]</f>
        <v>230</v>
      </c>
      <c r="N22" s="3">
        <f>Taulukko3[[#This Row],[Seurapisteet]]-MIN(D22,F22,I22,L22)</f>
        <v>230</v>
      </c>
      <c r="O22" s="3">
        <v>3</v>
      </c>
    </row>
    <row r="23" spans="1:15" x14ac:dyDescent="0.35">
      <c r="A23" t="s">
        <v>54</v>
      </c>
      <c r="B23" t="s">
        <v>55</v>
      </c>
      <c r="C23" s="3" t="s">
        <v>15</v>
      </c>
      <c r="D23" s="3">
        <v>60</v>
      </c>
      <c r="F23" s="3">
        <v>0</v>
      </c>
      <c r="G23" t="s">
        <v>54</v>
      </c>
      <c r="H23" s="3">
        <v>3</v>
      </c>
      <c r="I23" s="3">
        <v>60</v>
      </c>
      <c r="J23" s="10" t="str">
        <f>Taulukko3[[#This Row],[Nimi]]</f>
        <v xml:space="preserve">	Venla Lassila</v>
      </c>
      <c r="K23" s="3">
        <v>3</v>
      </c>
      <c r="L23" s="3">
        <v>60</v>
      </c>
      <c r="M23" s="3">
        <f>Taulukko3[[#This Row],[Pisteet]]+Taulukko3[[#This Row],[Pisteet2]]+Taulukko3[[#This Row],[pisteet3]]+Taulukko3[[#This Row],[pisteet4]]</f>
        <v>180</v>
      </c>
      <c r="N23" s="3">
        <f>Taulukko3[[#This Row],[Seurapisteet]]-MIN(D23,F23,I23,L23)</f>
        <v>180</v>
      </c>
      <c r="O23" s="3">
        <v>4</v>
      </c>
    </row>
    <row r="24" spans="1:15" x14ac:dyDescent="0.35">
      <c r="A24" t="s">
        <v>56</v>
      </c>
      <c r="B24" t="s">
        <v>57</v>
      </c>
      <c r="D24" s="3">
        <v>0</v>
      </c>
      <c r="E24" s="3" t="s">
        <v>16</v>
      </c>
      <c r="F24" s="3">
        <v>50</v>
      </c>
      <c r="G24" t="s">
        <v>56</v>
      </c>
      <c r="I24" s="3">
        <v>0</v>
      </c>
      <c r="J24" s="10" t="str">
        <f>Taulukko3[[#This Row],[Nimi]]</f>
        <v xml:space="preserve">Neea Hanni </v>
      </c>
      <c r="L24" s="3">
        <v>0</v>
      </c>
      <c r="M24" s="3">
        <f>Taulukko3[[#This Row],[Pisteet]]+Taulukko3[[#This Row],[Pisteet2]]+Taulukko3[[#This Row],[pisteet3]]+Taulukko3[[#This Row],[pisteet4]]</f>
        <v>50</v>
      </c>
      <c r="N24" s="3">
        <f>Taulukko3[[#This Row],[Seurapisteet]]-MIN(D24,F24,I24,L24)</f>
        <v>50</v>
      </c>
      <c r="O24" s="3">
        <v>5</v>
      </c>
    </row>
    <row r="25" spans="1:15" x14ac:dyDescent="0.35">
      <c r="A25" t="s">
        <v>176</v>
      </c>
      <c r="B25" t="s">
        <v>5</v>
      </c>
      <c r="D25" s="3">
        <v>0</v>
      </c>
      <c r="F25" s="3">
        <v>0</v>
      </c>
      <c r="G25" t="s">
        <v>176</v>
      </c>
      <c r="H25" s="3">
        <v>4</v>
      </c>
      <c r="I25" s="3">
        <v>50</v>
      </c>
      <c r="J25" s="10" t="str">
        <f>Taulukko3[[#This Row],[Nimi]]</f>
        <v>Martta Heikkilä</v>
      </c>
      <c r="L25" s="3">
        <v>0</v>
      </c>
      <c r="M25" s="3">
        <f>Taulukko3[[#This Row],[Pisteet]]+Taulukko3[[#This Row],[Pisteet2]]+Taulukko3[[#This Row],[pisteet3]]+Taulukko3[[#This Row],[pisteet4]]</f>
        <v>50</v>
      </c>
      <c r="N25" s="3">
        <f>Taulukko3[[#This Row],[Seurapisteet]]-MIN(D25,F25,I25,L25)</f>
        <v>50</v>
      </c>
      <c r="O25" s="3">
        <v>6</v>
      </c>
    </row>
    <row r="27" spans="1:15" x14ac:dyDescent="0.35">
      <c r="B27" t="s">
        <v>61</v>
      </c>
    </row>
    <row r="28" spans="1:15" x14ac:dyDescent="0.35">
      <c r="C28" s="3" t="s">
        <v>44</v>
      </c>
      <c r="E28" s="3" t="s">
        <v>43</v>
      </c>
      <c r="H28" s="3" t="s">
        <v>172</v>
      </c>
      <c r="K28" s="3" t="s">
        <v>181</v>
      </c>
      <c r="M28" s="3" t="s">
        <v>186</v>
      </c>
    </row>
    <row r="29" spans="1:15" x14ac:dyDescent="0.35">
      <c r="A29" t="s">
        <v>1</v>
      </c>
      <c r="B29" t="s">
        <v>2</v>
      </c>
      <c r="C29" s="3" t="s">
        <v>3</v>
      </c>
      <c r="D29" s="3" t="s">
        <v>0</v>
      </c>
      <c r="E29" s="3" t="s">
        <v>58</v>
      </c>
      <c r="F29" s="3" t="s">
        <v>62</v>
      </c>
      <c r="G29" t="s">
        <v>78</v>
      </c>
      <c r="H29" s="3" t="s">
        <v>173</v>
      </c>
      <c r="I29" s="3" t="s">
        <v>175</v>
      </c>
      <c r="J29" s="10" t="s">
        <v>191</v>
      </c>
      <c r="K29" s="3" t="s">
        <v>183</v>
      </c>
      <c r="L29" s="3" t="s">
        <v>184</v>
      </c>
      <c r="M29" s="3" t="s">
        <v>187</v>
      </c>
      <c r="N29" s="3" t="s">
        <v>188</v>
      </c>
      <c r="O29" s="3" t="s">
        <v>185</v>
      </c>
    </row>
    <row r="30" spans="1:15" x14ac:dyDescent="0.35">
      <c r="A30" t="s">
        <v>63</v>
      </c>
      <c r="B30" t="s">
        <v>64</v>
      </c>
      <c r="C30" s="3" t="s">
        <v>13</v>
      </c>
      <c r="D30" s="3">
        <v>100</v>
      </c>
      <c r="E30" s="3" t="s">
        <v>13</v>
      </c>
      <c r="F30" s="3">
        <v>100</v>
      </c>
      <c r="G30" t="s">
        <v>63</v>
      </c>
      <c r="H30" s="3">
        <v>1</v>
      </c>
      <c r="I30" s="9">
        <v>100</v>
      </c>
      <c r="J30" s="10" t="str">
        <f>Taulukko6[[#This Row],[Nimi]]</f>
        <v>Eddi Pietilä</v>
      </c>
      <c r="L30" s="3">
        <v>0</v>
      </c>
      <c r="M30" s="3">
        <f>Taulukko6[[#This Row],[Pisteet]]+Taulukko6[[#This Row],[Pisteet2]]+Taulukko6[[#This Row],[pisteet3]]+Taulukko6[[#This Row],[pisteet4]]</f>
        <v>300</v>
      </c>
      <c r="N30" s="3">
        <f>Taulukko6[[#This Row],[Seurapisteet]]-MIN(L30,I30,F30,D30)</f>
        <v>300</v>
      </c>
      <c r="O30" s="3">
        <v>1</v>
      </c>
    </row>
    <row r="31" spans="1:15" x14ac:dyDescent="0.35">
      <c r="A31" t="s">
        <v>65</v>
      </c>
      <c r="B31" t="s">
        <v>8</v>
      </c>
      <c r="C31" s="3" t="s">
        <v>14</v>
      </c>
      <c r="D31" s="3">
        <v>80</v>
      </c>
      <c r="E31" s="3" t="s">
        <v>14</v>
      </c>
      <c r="F31" s="3">
        <v>80</v>
      </c>
      <c r="G31" t="s">
        <v>65</v>
      </c>
      <c r="H31" s="3">
        <v>2</v>
      </c>
      <c r="I31" s="9">
        <v>80</v>
      </c>
      <c r="J31" s="10" t="str">
        <f>Taulukko6[[#This Row],[Nimi]]</f>
        <v xml:space="preserve">	Emil Kähtävä</v>
      </c>
      <c r="L31" s="3">
        <v>0</v>
      </c>
      <c r="M31" s="3">
        <f>Taulukko6[[#This Row],[Pisteet]]+Taulukko6[[#This Row],[Pisteet2]]+Taulukko6[[#This Row],[pisteet3]]+Taulukko6[[#This Row],[pisteet4]]</f>
        <v>240</v>
      </c>
      <c r="N31" s="3">
        <f>Taulukko6[[#This Row],[Seurapisteet]]-MIN(L31,I31,F31,D31)</f>
        <v>240</v>
      </c>
      <c r="O31" s="3">
        <v>2</v>
      </c>
    </row>
    <row r="32" spans="1:15" x14ac:dyDescent="0.35">
      <c r="A32" t="s">
        <v>66</v>
      </c>
      <c r="B32" t="s">
        <v>8</v>
      </c>
      <c r="C32" s="3" t="s">
        <v>15</v>
      </c>
      <c r="D32" s="3">
        <v>60</v>
      </c>
      <c r="E32" s="3" t="s">
        <v>15</v>
      </c>
      <c r="F32" s="3">
        <v>60</v>
      </c>
      <c r="G32" t="s">
        <v>66</v>
      </c>
      <c r="I32" s="9">
        <v>0</v>
      </c>
      <c r="J32" s="10" t="str">
        <f>Taulukko6[[#This Row],[Nimi]]</f>
        <v xml:space="preserve">	Alvar Junnikkala</v>
      </c>
      <c r="K32" s="3">
        <v>1</v>
      </c>
      <c r="L32" s="3">
        <v>100</v>
      </c>
      <c r="M32" s="3">
        <f>Taulukko6[[#This Row],[Pisteet]]+Taulukko6[[#This Row],[Pisteet2]]+Taulukko6[[#This Row],[pisteet3]]+Taulukko6[[#This Row],[pisteet4]]</f>
        <v>220</v>
      </c>
      <c r="N32" s="3">
        <f>Taulukko6[[#This Row],[Seurapisteet]]-MIN(L32,I32,F32,D32)</f>
        <v>220</v>
      </c>
      <c r="O32" s="3">
        <v>3</v>
      </c>
    </row>
    <row r="33" spans="1:15" x14ac:dyDescent="0.35">
      <c r="A33" t="s">
        <v>69</v>
      </c>
      <c r="B33" t="s">
        <v>11</v>
      </c>
      <c r="C33" s="3" t="s">
        <v>16</v>
      </c>
      <c r="D33" s="3">
        <v>50</v>
      </c>
      <c r="E33" s="3" t="s">
        <v>19</v>
      </c>
      <c r="F33" s="3">
        <v>36</v>
      </c>
      <c r="G33" t="s">
        <v>69</v>
      </c>
      <c r="I33" s="9">
        <v>0</v>
      </c>
      <c r="J33" s="10" t="str">
        <f>Taulukko6[[#This Row],[Nimi]]</f>
        <v>Nooa Hylkilä</v>
      </c>
      <c r="K33" s="3">
        <v>3</v>
      </c>
      <c r="L33" s="3">
        <v>60</v>
      </c>
      <c r="M33" s="3">
        <f>Taulukko6[[#This Row],[Pisteet]]+Taulukko6[[#This Row],[Pisteet2]]+Taulukko6[[#This Row],[pisteet3]]+Taulukko6[[#This Row],[pisteet4]]</f>
        <v>146</v>
      </c>
      <c r="N33" s="3">
        <f>Taulukko6[[#This Row],[Seurapisteet]]-MIN(L33,I33,F33,D33)</f>
        <v>146</v>
      </c>
      <c r="O33" s="3">
        <v>4</v>
      </c>
    </row>
    <row r="34" spans="1:15" x14ac:dyDescent="0.35">
      <c r="A34" t="s">
        <v>68</v>
      </c>
      <c r="B34" t="s">
        <v>67</v>
      </c>
      <c r="C34" s="3" t="s">
        <v>17</v>
      </c>
      <c r="D34" s="3">
        <v>45</v>
      </c>
      <c r="E34" s="3" t="s">
        <v>20</v>
      </c>
      <c r="F34" s="3">
        <v>32</v>
      </c>
      <c r="G34" t="s">
        <v>68</v>
      </c>
      <c r="H34" s="3">
        <v>5</v>
      </c>
      <c r="I34" s="9">
        <v>45</v>
      </c>
      <c r="J34" s="10" t="str">
        <f>Taulukko6[[#This Row],[Nimi]]</f>
        <v>Oliver Huhtanen</v>
      </c>
      <c r="K34" s="3">
        <v>4</v>
      </c>
      <c r="L34" s="3">
        <v>50</v>
      </c>
      <c r="M34" s="3">
        <f>Taulukko6[[#This Row],[Pisteet]]+Taulukko6[[#This Row],[Pisteet2]]+Taulukko6[[#This Row],[pisteet3]]+Taulukko6[[#This Row],[pisteet4]]</f>
        <v>172</v>
      </c>
      <c r="N34" s="3">
        <f>Taulukko6[[#This Row],[Seurapisteet]]-MIN(L34,I34,F34,D34)</f>
        <v>140</v>
      </c>
      <c r="O34" s="3">
        <v>5</v>
      </c>
    </row>
    <row r="35" spans="1:15" x14ac:dyDescent="0.35">
      <c r="A35" t="s">
        <v>75</v>
      </c>
      <c r="B35" t="s">
        <v>67</v>
      </c>
      <c r="D35" s="3">
        <v>0</v>
      </c>
      <c r="E35" s="3" t="s">
        <v>16</v>
      </c>
      <c r="F35" s="3">
        <v>50</v>
      </c>
      <c r="G35" t="s">
        <v>75</v>
      </c>
      <c r="H35" s="3">
        <v>3</v>
      </c>
      <c r="I35" s="3">
        <v>60</v>
      </c>
      <c r="J35" s="10" t="str">
        <f>Taulukko6[[#This Row],[Nimi]]</f>
        <v>Aatos Sikkilä</v>
      </c>
      <c r="L35" s="3">
        <v>0</v>
      </c>
      <c r="M35" s="3">
        <f>Taulukko6[[#This Row],[Pisteet]]+Taulukko6[[#This Row],[Pisteet2]]+Taulukko6[[#This Row],[pisteet3]]+Taulukko6[[#This Row],[pisteet4]]</f>
        <v>110</v>
      </c>
      <c r="N35" s="3">
        <f>Taulukko6[[#This Row],[Seurapisteet]]-MIN(L35,I35,F35,D35)</f>
        <v>110</v>
      </c>
      <c r="O35" s="3">
        <v>6</v>
      </c>
    </row>
    <row r="36" spans="1:15" x14ac:dyDescent="0.35">
      <c r="A36" t="s">
        <v>77</v>
      </c>
      <c r="B36" t="s">
        <v>67</v>
      </c>
      <c r="D36" s="3">
        <v>0</v>
      </c>
      <c r="E36" s="3" t="s">
        <v>18</v>
      </c>
      <c r="F36" s="3">
        <v>40</v>
      </c>
      <c r="G36" t="s">
        <v>77</v>
      </c>
      <c r="H36" s="3">
        <v>4</v>
      </c>
      <c r="I36" s="3">
        <v>50</v>
      </c>
      <c r="J36" s="10" t="str">
        <f>Taulukko6[[#This Row],[Nimi]]</f>
        <v>Iisak Rautakoski</v>
      </c>
      <c r="L36" s="3">
        <v>0</v>
      </c>
      <c r="M36" s="3">
        <f>Taulukko6[[#This Row],[Pisteet]]+Taulukko6[[#This Row],[Pisteet2]]+Taulukko6[[#This Row],[pisteet3]]+Taulukko6[[#This Row],[pisteet4]]</f>
        <v>90</v>
      </c>
      <c r="N36" s="3">
        <f>Taulukko6[[#This Row],[Seurapisteet]]-MIN(L36,I36,F36,D36)</f>
        <v>90</v>
      </c>
      <c r="O36" s="3">
        <v>7</v>
      </c>
    </row>
    <row r="37" spans="1:15" x14ac:dyDescent="0.35">
      <c r="A37" t="s">
        <v>71</v>
      </c>
      <c r="B37" t="s">
        <v>55</v>
      </c>
      <c r="C37" s="3" t="s">
        <v>19</v>
      </c>
      <c r="D37" s="3">
        <v>36</v>
      </c>
      <c r="F37" s="3">
        <v>0</v>
      </c>
      <c r="G37" t="s">
        <v>71</v>
      </c>
      <c r="I37" s="3">
        <v>0</v>
      </c>
      <c r="J37" s="10" t="str">
        <f>Taulukko6[[#This Row],[Nimi]]</f>
        <v xml:space="preserve">	Leevi Lassila</v>
      </c>
      <c r="K37" s="3">
        <v>5</v>
      </c>
      <c r="L37" s="3">
        <v>45</v>
      </c>
      <c r="M37" s="3">
        <f>Taulukko6[[#This Row],[Pisteet]]+Taulukko6[[#This Row],[Pisteet2]]+Taulukko6[[#This Row],[pisteet3]]+Taulukko6[[#This Row],[pisteet4]]</f>
        <v>81</v>
      </c>
      <c r="N37" s="3">
        <f>Taulukko6[[#This Row],[Seurapisteet]]-MIN(L37,I37,F37,D37)</f>
        <v>81</v>
      </c>
      <c r="O37" s="3">
        <v>8</v>
      </c>
    </row>
    <row r="38" spans="1:15" x14ac:dyDescent="0.35">
      <c r="A38" t="s">
        <v>192</v>
      </c>
      <c r="B38" t="s">
        <v>100</v>
      </c>
      <c r="D38" s="3">
        <v>0</v>
      </c>
      <c r="F38" s="3">
        <v>0</v>
      </c>
      <c r="G38" t="s">
        <v>192</v>
      </c>
      <c r="I38" s="3">
        <v>0</v>
      </c>
      <c r="J38" s="10" t="str">
        <f>Taulukko6[[#This Row],[Nimi]]</f>
        <v>Vilho Saari</v>
      </c>
      <c r="K38" s="3">
        <v>2</v>
      </c>
      <c r="L38" s="3">
        <v>80</v>
      </c>
      <c r="M38" s="3">
        <f>Taulukko6[[#This Row],[Pisteet]]+Taulukko6[[#This Row],[Pisteet2]]+Taulukko6[[#This Row],[pisteet3]]+Taulukko6[[#This Row],[pisteet4]]</f>
        <v>80</v>
      </c>
      <c r="N38" s="3">
        <f>Taulukko6[[#This Row],[Seurapisteet]]-MIN(L38,I38,F38,D38)</f>
        <v>80</v>
      </c>
      <c r="O38" s="3">
        <v>9</v>
      </c>
    </row>
    <row r="39" spans="1:15" x14ac:dyDescent="0.35">
      <c r="A39" t="s">
        <v>76</v>
      </c>
      <c r="B39" t="s">
        <v>67</v>
      </c>
      <c r="D39" s="3">
        <v>0</v>
      </c>
      <c r="E39" s="3" t="s">
        <v>17</v>
      </c>
      <c r="F39" s="3">
        <v>45</v>
      </c>
      <c r="G39" t="s">
        <v>76</v>
      </c>
      <c r="I39" s="3">
        <v>0</v>
      </c>
      <c r="J39" s="10" t="str">
        <f>Taulukko6[[#This Row],[Nimi]]</f>
        <v>Halti Heinonen</v>
      </c>
      <c r="L39" s="3">
        <v>0</v>
      </c>
      <c r="M39" s="3">
        <f>Taulukko6[[#This Row],[Pisteet]]+Taulukko6[[#This Row],[Pisteet2]]+Taulukko6[[#This Row],[pisteet3]]+Taulukko6[[#This Row],[pisteet4]]</f>
        <v>45</v>
      </c>
      <c r="N39" s="3">
        <f>Taulukko6[[#This Row],[Seurapisteet]]-MIN(L39,I39,F39,D39)</f>
        <v>45</v>
      </c>
      <c r="O39" s="3">
        <v>10</v>
      </c>
    </row>
    <row r="40" spans="1:15" x14ac:dyDescent="0.35">
      <c r="A40" t="s">
        <v>177</v>
      </c>
      <c r="B40" t="s">
        <v>5</v>
      </c>
      <c r="D40" s="3">
        <v>0</v>
      </c>
      <c r="F40" s="3">
        <v>0</v>
      </c>
      <c r="G40" t="s">
        <v>177</v>
      </c>
      <c r="H40" s="3">
        <v>6</v>
      </c>
      <c r="I40" s="3">
        <v>40</v>
      </c>
      <c r="J40" s="10" t="str">
        <f>Taulukko6[[#This Row],[Nimi]]</f>
        <v>Peetu Heikkilä</v>
      </c>
      <c r="L40" s="3">
        <v>0</v>
      </c>
      <c r="M40" s="3">
        <f>Taulukko6[[#This Row],[Pisteet]]+Taulukko6[[#This Row],[Pisteet2]]+Taulukko6[[#This Row],[pisteet3]]+Taulukko6[[#This Row],[pisteet4]]</f>
        <v>40</v>
      </c>
      <c r="N40" s="3">
        <f>Taulukko6[[#This Row],[Seurapisteet]]-MIN(L40,I40,F40,D40)</f>
        <v>40</v>
      </c>
      <c r="O40" s="3">
        <v>11</v>
      </c>
    </row>
    <row r="41" spans="1:15" x14ac:dyDescent="0.35">
      <c r="A41" t="s">
        <v>70</v>
      </c>
      <c r="B41" t="s">
        <v>8</v>
      </c>
      <c r="C41" s="3" t="s">
        <v>18</v>
      </c>
      <c r="D41" s="3">
        <v>40</v>
      </c>
      <c r="F41" s="3">
        <v>0</v>
      </c>
      <c r="G41" t="s">
        <v>70</v>
      </c>
      <c r="I41" s="3">
        <v>0</v>
      </c>
      <c r="J41" s="10" t="str">
        <f>Taulukko6[[#This Row],[Nimi]]</f>
        <v>Elmeri Ojala</v>
      </c>
      <c r="L41" s="3">
        <v>0</v>
      </c>
      <c r="M41" s="3">
        <f>Taulukko6[[#This Row],[Pisteet]]+Taulukko6[[#This Row],[Pisteet2]]+Taulukko6[[#This Row],[pisteet3]]+Taulukko6[[#This Row],[pisteet4]]</f>
        <v>40</v>
      </c>
      <c r="N41" s="3">
        <f>Taulukko6[[#This Row],[Seurapisteet]]-MIN(L41,I41,F41,D41)</f>
        <v>40</v>
      </c>
      <c r="O41" s="3">
        <v>11</v>
      </c>
    </row>
    <row r="42" spans="1:15" x14ac:dyDescent="0.35">
      <c r="A42" t="s">
        <v>72</v>
      </c>
      <c r="B42" t="s">
        <v>55</v>
      </c>
      <c r="C42" s="3" t="s">
        <v>20</v>
      </c>
      <c r="D42" s="3">
        <v>32</v>
      </c>
      <c r="F42" s="3">
        <v>0</v>
      </c>
      <c r="G42" t="s">
        <v>72</v>
      </c>
      <c r="I42" s="3">
        <v>0</v>
      </c>
      <c r="J42" s="10" t="str">
        <f>Taulukko6[[#This Row],[Nimi]]</f>
        <v xml:space="preserve">	Saku Kettu</v>
      </c>
      <c r="L42" s="3">
        <v>0</v>
      </c>
      <c r="M42" s="3">
        <f>Taulukko6[[#This Row],[Pisteet]]+Taulukko6[[#This Row],[Pisteet2]]+Taulukko6[[#This Row],[pisteet3]]+Taulukko6[[#This Row],[pisteet4]]</f>
        <v>32</v>
      </c>
      <c r="N42" s="3">
        <f>Taulukko6[[#This Row],[Seurapisteet]]-MIN(L42,I42,F42,D42)</f>
        <v>32</v>
      </c>
      <c r="O42" s="3">
        <v>13</v>
      </c>
    </row>
    <row r="43" spans="1:15" x14ac:dyDescent="0.35">
      <c r="A43" t="s">
        <v>73</v>
      </c>
      <c r="B43" t="s">
        <v>8</v>
      </c>
      <c r="C43" s="3" t="s">
        <v>21</v>
      </c>
      <c r="D43" s="3">
        <v>29</v>
      </c>
      <c r="F43" s="3">
        <v>0</v>
      </c>
      <c r="G43" t="s">
        <v>73</v>
      </c>
      <c r="I43" s="3">
        <v>0</v>
      </c>
      <c r="J43" s="10" t="str">
        <f>Taulukko6[[#This Row],[Nimi]]</f>
        <v xml:space="preserve">	Joonas Eemeli Vilu</v>
      </c>
      <c r="K43" s="4"/>
      <c r="L43" s="3">
        <v>0</v>
      </c>
      <c r="M43" s="3">
        <f>Taulukko6[[#This Row],[Pisteet]]+Taulukko6[[#This Row],[Pisteet2]]+Taulukko6[[#This Row],[pisteet3]]+Taulukko6[[#This Row],[pisteet4]]</f>
        <v>29</v>
      </c>
      <c r="N43" s="3">
        <f>Taulukko6[[#This Row],[Seurapisteet]]-MIN(L43,I43,F43,D43)</f>
        <v>29</v>
      </c>
      <c r="O43" s="3">
        <v>14</v>
      </c>
    </row>
    <row r="44" spans="1:15" x14ac:dyDescent="0.35">
      <c r="M44" s="4"/>
    </row>
    <row r="45" spans="1:15" x14ac:dyDescent="0.35">
      <c r="M45" s="4"/>
    </row>
    <row r="46" spans="1:15" x14ac:dyDescent="0.35">
      <c r="B46" t="s">
        <v>79</v>
      </c>
    </row>
    <row r="47" spans="1:15" x14ac:dyDescent="0.35">
      <c r="C47" s="3" t="s">
        <v>44</v>
      </c>
      <c r="E47" s="3" t="s">
        <v>43</v>
      </c>
      <c r="H47" s="3" t="s">
        <v>172</v>
      </c>
      <c r="K47" s="10" t="s">
        <v>181</v>
      </c>
      <c r="L47" s="10"/>
      <c r="M47" s="10" t="s">
        <v>186</v>
      </c>
    </row>
    <row r="48" spans="1:15" x14ac:dyDescent="0.35">
      <c r="A48" t="s">
        <v>1</v>
      </c>
      <c r="B48" t="s">
        <v>2</v>
      </c>
      <c r="C48" s="3" t="s">
        <v>3</v>
      </c>
      <c r="D48" s="3" t="s">
        <v>0</v>
      </c>
      <c r="E48" s="3" t="s">
        <v>58</v>
      </c>
      <c r="F48" s="3" t="s">
        <v>62</v>
      </c>
      <c r="G48" t="s">
        <v>101</v>
      </c>
      <c r="H48" s="3" t="s">
        <v>173</v>
      </c>
      <c r="I48" s="3" t="s">
        <v>175</v>
      </c>
      <c r="J48" s="10" t="s">
        <v>78</v>
      </c>
      <c r="K48" s="10" t="s">
        <v>183</v>
      </c>
      <c r="L48" s="10" t="s">
        <v>184</v>
      </c>
      <c r="M48" s="10" t="s">
        <v>187</v>
      </c>
      <c r="N48" s="10" t="s">
        <v>188</v>
      </c>
      <c r="O48" s="10" t="s">
        <v>185</v>
      </c>
    </row>
    <row r="49" spans="1:15" x14ac:dyDescent="0.35">
      <c r="A49" t="s">
        <v>80</v>
      </c>
      <c r="B49" t="s">
        <v>11</v>
      </c>
      <c r="C49" s="3" t="s">
        <v>13</v>
      </c>
      <c r="D49" s="3">
        <v>100</v>
      </c>
      <c r="E49" s="3" t="s">
        <v>13</v>
      </c>
      <c r="F49" s="3">
        <v>100</v>
      </c>
      <c r="G49" t="s">
        <v>80</v>
      </c>
      <c r="H49" s="3">
        <v>2</v>
      </c>
      <c r="I49" s="9">
        <v>80</v>
      </c>
      <c r="J49" s="10" t="str">
        <f>Taulukko11[[#This Row],[Nimi]]</f>
        <v>Mette Haikara</v>
      </c>
      <c r="K49" s="3">
        <v>1</v>
      </c>
      <c r="L49" s="3">
        <v>100</v>
      </c>
      <c r="M49" s="3">
        <f>Taulukko11[[#This Row],[Pisteet]]+Taulukko11[[#This Row],[Pisteet2]]+Taulukko11[[#This Row],[pisteet3]]+Taulukko11[[#This Row],[pisteet4]]</f>
        <v>380</v>
      </c>
      <c r="N49" s="3">
        <f>Taulukko11[[#This Row],[Seurapisteet]]-MIN(L49,I49,F49,D49)</f>
        <v>300</v>
      </c>
      <c r="O49" s="3">
        <v>1</v>
      </c>
    </row>
    <row r="50" spans="1:15" x14ac:dyDescent="0.35">
      <c r="A50" t="s">
        <v>81</v>
      </c>
      <c r="B50" t="s">
        <v>82</v>
      </c>
      <c r="C50" s="3" t="s">
        <v>14</v>
      </c>
      <c r="D50" s="3">
        <v>80</v>
      </c>
      <c r="E50" s="3" t="s">
        <v>16</v>
      </c>
      <c r="F50" s="3">
        <v>50</v>
      </c>
      <c r="G50" t="s">
        <v>81</v>
      </c>
      <c r="H50" s="3">
        <v>1</v>
      </c>
      <c r="I50" s="9">
        <v>100</v>
      </c>
      <c r="J50" s="10" t="str">
        <f>Taulukko11[[#This Row],[Nimi]]</f>
        <v xml:space="preserve">	Nelli Hyväluoma</v>
      </c>
      <c r="K50" s="3">
        <v>4</v>
      </c>
      <c r="L50" s="3">
        <v>50</v>
      </c>
      <c r="M50" s="3">
        <f>Taulukko11[[#This Row],[Pisteet]]+Taulukko11[[#This Row],[Pisteet2]]+Taulukko11[[#This Row],[pisteet3]]+Taulukko11[[#This Row],[pisteet4]]</f>
        <v>280</v>
      </c>
      <c r="N50" s="3">
        <f>Taulukko11[[#This Row],[Seurapisteet]]-MIN(L50,I50,F50,D50)</f>
        <v>230</v>
      </c>
      <c r="O50" s="3">
        <v>2</v>
      </c>
    </row>
    <row r="51" spans="1:15" x14ac:dyDescent="0.35">
      <c r="A51" t="s">
        <v>84</v>
      </c>
      <c r="B51" t="s">
        <v>51</v>
      </c>
      <c r="C51" s="3" t="s">
        <v>17</v>
      </c>
      <c r="D51" s="3">
        <v>45</v>
      </c>
      <c r="E51" s="3" t="s">
        <v>14</v>
      </c>
      <c r="F51" s="3">
        <v>80</v>
      </c>
      <c r="G51" t="s">
        <v>84</v>
      </c>
      <c r="H51" s="3">
        <v>3</v>
      </c>
      <c r="I51" s="9">
        <v>60</v>
      </c>
      <c r="J51" s="10" t="str">
        <f>Taulukko11[[#This Row],[Nimi]]</f>
        <v xml:space="preserve">	Lotta Pietikäinen</v>
      </c>
      <c r="K51" s="3">
        <v>2</v>
      </c>
      <c r="L51" s="3">
        <v>80</v>
      </c>
      <c r="M51" s="3">
        <f>Taulukko11[[#This Row],[Pisteet]]+Taulukko11[[#This Row],[Pisteet2]]+Taulukko11[[#This Row],[pisteet3]]+Taulukko11[[#This Row],[pisteet4]]</f>
        <v>265</v>
      </c>
      <c r="N51" s="3">
        <f>Taulukko11[[#This Row],[Seurapisteet]]-MIN(L51,I51,F51,D51)</f>
        <v>220</v>
      </c>
      <c r="O51" s="3">
        <v>3</v>
      </c>
    </row>
    <row r="52" spans="1:15" x14ac:dyDescent="0.35">
      <c r="A52" t="s">
        <v>85</v>
      </c>
      <c r="B52" t="s">
        <v>86</v>
      </c>
      <c r="C52" s="3" t="s">
        <v>16</v>
      </c>
      <c r="D52" s="3">
        <v>50</v>
      </c>
      <c r="E52" s="3" t="s">
        <v>15</v>
      </c>
      <c r="F52" s="3">
        <v>60</v>
      </c>
      <c r="G52" t="s">
        <v>85</v>
      </c>
      <c r="H52" s="3">
        <v>4</v>
      </c>
      <c r="I52" s="9">
        <v>50</v>
      </c>
      <c r="J52" s="10" t="str">
        <f>Taulukko11[[#This Row],[Nimi]]</f>
        <v xml:space="preserve">	Matilda Aarnio</v>
      </c>
      <c r="K52" s="3">
        <v>3</v>
      </c>
      <c r="L52" s="3">
        <v>60</v>
      </c>
      <c r="M52" s="3">
        <f>Taulukko11[[#This Row],[Pisteet]]+Taulukko11[[#This Row],[Pisteet2]]+Taulukko11[[#This Row],[pisteet3]]+Taulukko11[[#This Row],[pisteet4]]</f>
        <v>220</v>
      </c>
      <c r="N52" s="3">
        <f>Taulukko11[[#This Row],[Seurapisteet]]-MIN(L52,I52,F52,D52)</f>
        <v>170</v>
      </c>
      <c r="O52" s="3">
        <v>4</v>
      </c>
    </row>
    <row r="53" spans="1:15" x14ac:dyDescent="0.35">
      <c r="A53" t="s">
        <v>83</v>
      </c>
      <c r="B53" t="s">
        <v>82</v>
      </c>
      <c r="C53" s="3" t="s">
        <v>15</v>
      </c>
      <c r="D53" s="3">
        <v>60</v>
      </c>
      <c r="E53" s="3" t="s">
        <v>21</v>
      </c>
      <c r="F53" s="3">
        <v>29</v>
      </c>
      <c r="G53" t="s">
        <v>83</v>
      </c>
      <c r="I53" s="9">
        <v>0</v>
      </c>
      <c r="J53" s="10" t="str">
        <f>Taulukko11[[#This Row],[Nimi]]</f>
        <v xml:space="preserve">	Milja Järvelä</v>
      </c>
      <c r="K53" s="3">
        <v>7</v>
      </c>
      <c r="L53" s="3">
        <v>36</v>
      </c>
      <c r="M53" s="3">
        <f>Taulukko11[[#This Row],[Pisteet]]+Taulukko11[[#This Row],[Pisteet2]]+Taulukko11[[#This Row],[pisteet3]]+Taulukko11[[#This Row],[pisteet4]]</f>
        <v>125</v>
      </c>
      <c r="N53" s="3">
        <f>Taulukko11[[#This Row],[Seurapisteet]]-MIN(L53,I53,F53,D53)</f>
        <v>125</v>
      </c>
      <c r="O53" s="3">
        <v>5</v>
      </c>
    </row>
    <row r="54" spans="1:15" x14ac:dyDescent="0.35">
      <c r="A54" t="s">
        <v>88</v>
      </c>
      <c r="B54" t="s">
        <v>51</v>
      </c>
      <c r="C54" s="3" t="s">
        <v>21</v>
      </c>
      <c r="D54" s="3">
        <v>29</v>
      </c>
      <c r="E54" s="3" t="s">
        <v>19</v>
      </c>
      <c r="F54" s="3">
        <v>36</v>
      </c>
      <c r="G54" t="s">
        <v>88</v>
      </c>
      <c r="I54" s="9">
        <v>0</v>
      </c>
      <c r="J54" s="10" t="str">
        <f>Taulukko11[[#This Row],[Nimi]]</f>
        <v>Elsa Laakkonen</v>
      </c>
      <c r="K54" s="3">
        <v>5</v>
      </c>
      <c r="L54" s="3">
        <v>45</v>
      </c>
      <c r="M54" s="3">
        <f>Taulukko11[[#This Row],[Pisteet]]+Taulukko11[[#This Row],[Pisteet2]]+Taulukko11[[#This Row],[pisteet3]]+Taulukko11[[#This Row],[pisteet4]]</f>
        <v>110</v>
      </c>
      <c r="N54" s="3">
        <f>Taulukko11[[#This Row],[Seurapisteet]]-MIN(L54,I54,F54,D54)</f>
        <v>110</v>
      </c>
      <c r="O54" s="3">
        <v>6</v>
      </c>
    </row>
    <row r="55" spans="1:15" x14ac:dyDescent="0.35">
      <c r="A55" t="s">
        <v>98</v>
      </c>
      <c r="B55" t="s">
        <v>51</v>
      </c>
      <c r="D55" s="3">
        <v>0</v>
      </c>
      <c r="E55" s="3" t="s">
        <v>20</v>
      </c>
      <c r="F55" s="3">
        <v>32</v>
      </c>
      <c r="G55" t="s">
        <v>98</v>
      </c>
      <c r="H55" s="3">
        <v>7</v>
      </c>
      <c r="I55" s="9">
        <v>36</v>
      </c>
      <c r="J55" s="10" t="str">
        <f>Taulukko11[[#This Row],[Nimi]]</f>
        <v>Isla Savelainen</v>
      </c>
      <c r="K55" s="3">
        <v>6</v>
      </c>
      <c r="L55" s="3">
        <v>40</v>
      </c>
      <c r="M55" s="3">
        <f>Taulukko11[[#This Row],[Pisteet]]+Taulukko11[[#This Row],[Pisteet2]]+Taulukko11[[#This Row],[pisteet3]]+Taulukko11[[#This Row],[pisteet4]]</f>
        <v>108</v>
      </c>
      <c r="N55" s="3">
        <f>Taulukko11[[#This Row],[Seurapisteet]]-MIN(L55,I55,F55,D55)</f>
        <v>108</v>
      </c>
      <c r="O55" s="3">
        <v>7</v>
      </c>
    </row>
    <row r="56" spans="1:15" x14ac:dyDescent="0.35">
      <c r="A56" t="s">
        <v>89</v>
      </c>
      <c r="B56" t="s">
        <v>64</v>
      </c>
      <c r="C56" s="3" t="s">
        <v>19</v>
      </c>
      <c r="D56" s="3">
        <v>36</v>
      </c>
      <c r="E56" s="3" t="s">
        <v>22</v>
      </c>
      <c r="F56" s="3">
        <v>26</v>
      </c>
      <c r="G56" t="s">
        <v>89</v>
      </c>
      <c r="H56" s="3">
        <v>5</v>
      </c>
      <c r="I56" s="9">
        <v>45</v>
      </c>
      <c r="J56" s="10" t="str">
        <f>Taulukko11[[#This Row],[Nimi]]</f>
        <v xml:space="preserve">	Saana Suomu</v>
      </c>
      <c r="L56" s="3">
        <v>0</v>
      </c>
      <c r="M56" s="3">
        <f>Taulukko11[[#This Row],[Pisteet]]+Taulukko11[[#This Row],[Pisteet2]]+Taulukko11[[#This Row],[pisteet3]]+Taulukko11[[#This Row],[pisteet4]]</f>
        <v>107</v>
      </c>
      <c r="N56" s="3">
        <f>Taulukko11[[#This Row],[Seurapisteet]]-MIN(L56,I56,F56,D56)</f>
        <v>107</v>
      </c>
      <c r="O56" s="3">
        <v>8</v>
      </c>
    </row>
    <row r="57" spans="1:15" x14ac:dyDescent="0.35">
      <c r="A57" t="s">
        <v>90</v>
      </c>
      <c r="B57" t="s">
        <v>86</v>
      </c>
      <c r="C57" s="3" t="s">
        <v>20</v>
      </c>
      <c r="D57" s="3">
        <v>32</v>
      </c>
      <c r="E57" s="3" t="s">
        <v>23</v>
      </c>
      <c r="F57" s="3">
        <v>24</v>
      </c>
      <c r="G57" t="s">
        <v>90</v>
      </c>
      <c r="H57" s="3">
        <v>6</v>
      </c>
      <c r="I57" s="9">
        <v>40</v>
      </c>
      <c r="J57" s="10" t="str">
        <f>Taulukko11[[#This Row],[Nimi]]</f>
        <v xml:space="preserve">	Aana Oja</v>
      </c>
      <c r="K57" s="3">
        <v>8</v>
      </c>
      <c r="L57" s="3">
        <v>32</v>
      </c>
      <c r="M57" s="3">
        <f>Taulukko11[[#This Row],[Pisteet]]+Taulukko11[[#This Row],[Pisteet2]]+Taulukko11[[#This Row],[pisteet3]]+Taulukko11[[#This Row],[pisteet4]]</f>
        <v>128</v>
      </c>
      <c r="N57" s="3">
        <f>Taulukko11[[#This Row],[Seurapisteet]]-MIN(L57,I57,F57,D57)</f>
        <v>104</v>
      </c>
      <c r="O57" s="3">
        <v>9</v>
      </c>
    </row>
    <row r="58" spans="1:15" x14ac:dyDescent="0.35">
      <c r="A58" t="s">
        <v>92</v>
      </c>
      <c r="B58" t="s">
        <v>64</v>
      </c>
      <c r="C58" s="3" t="s">
        <v>23</v>
      </c>
      <c r="D58" s="3">
        <v>24</v>
      </c>
      <c r="E58" s="3" t="s">
        <v>18</v>
      </c>
      <c r="F58" s="3">
        <v>40</v>
      </c>
      <c r="G58" t="s">
        <v>92</v>
      </c>
      <c r="H58" s="3">
        <v>8</v>
      </c>
      <c r="I58" s="3">
        <v>32</v>
      </c>
      <c r="J58" s="10" t="str">
        <f>Taulukko11[[#This Row],[Nimi]]</f>
        <v xml:space="preserve">	Anniina Keltamäki</v>
      </c>
      <c r="L58" s="3">
        <v>0</v>
      </c>
      <c r="M58" s="3">
        <f>Taulukko11[[#This Row],[Pisteet]]+Taulukko11[[#This Row],[Pisteet2]]+Taulukko11[[#This Row],[pisteet3]]+Taulukko11[[#This Row],[pisteet4]]</f>
        <v>96</v>
      </c>
      <c r="N58" s="3">
        <f>Taulukko11[[#This Row],[Seurapisteet]]-MIN(L58,I58,F58,D58)</f>
        <v>96</v>
      </c>
      <c r="O58" s="3">
        <v>10</v>
      </c>
    </row>
    <row r="59" spans="1:15" x14ac:dyDescent="0.35">
      <c r="A59" t="s">
        <v>96</v>
      </c>
      <c r="B59" t="s">
        <v>97</v>
      </c>
      <c r="D59" s="3">
        <v>0</v>
      </c>
      <c r="E59" s="3" t="s">
        <v>17</v>
      </c>
      <c r="F59" s="3">
        <v>45</v>
      </c>
      <c r="G59" t="s">
        <v>96</v>
      </c>
      <c r="I59" s="3">
        <v>0</v>
      </c>
      <c r="J59" s="10" t="str">
        <f>Taulukko11[[#This Row],[Nimi]]</f>
        <v>Aino Elisabet Karsikas</v>
      </c>
      <c r="K59" s="3">
        <v>9</v>
      </c>
      <c r="L59" s="3">
        <v>29</v>
      </c>
      <c r="M59" s="3">
        <f>Taulukko11[[#This Row],[Pisteet]]+Taulukko11[[#This Row],[Pisteet2]]+Taulukko11[[#This Row],[pisteet3]]+Taulukko11[[#This Row],[pisteet4]]</f>
        <v>74</v>
      </c>
      <c r="N59" s="3">
        <f>Taulukko11[[#This Row],[Seurapisteet]]-MIN(L59,I59,F59,D59)</f>
        <v>74</v>
      </c>
      <c r="O59" s="3">
        <v>11</v>
      </c>
    </row>
    <row r="60" spans="1:15" x14ac:dyDescent="0.35">
      <c r="A60" t="s">
        <v>91</v>
      </c>
      <c r="B60" t="s">
        <v>74</v>
      </c>
      <c r="C60" s="3" t="s">
        <v>22</v>
      </c>
      <c r="D60" s="3">
        <v>26</v>
      </c>
      <c r="F60" s="3">
        <v>0</v>
      </c>
      <c r="G60" t="s">
        <v>91</v>
      </c>
      <c r="H60" s="3">
        <v>9</v>
      </c>
      <c r="I60" s="3">
        <v>29</v>
      </c>
      <c r="J60" s="10" t="str">
        <f>Taulukko11[[#This Row],[Nimi]]</f>
        <v xml:space="preserve">	Nelli Hietala</v>
      </c>
      <c r="L60" s="3">
        <v>0</v>
      </c>
      <c r="M60" s="3">
        <f>Taulukko11[[#This Row],[Pisteet]]+Taulukko11[[#This Row],[Pisteet2]]+Taulukko11[[#This Row],[pisteet3]]+Taulukko11[[#This Row],[pisteet4]]</f>
        <v>55</v>
      </c>
      <c r="N60" s="3">
        <f>Taulukko11[[#This Row],[Seurapisteet]]-MIN(L60,I60,F60,D60)</f>
        <v>55</v>
      </c>
      <c r="O60" s="3">
        <v>12</v>
      </c>
    </row>
    <row r="61" spans="1:15" x14ac:dyDescent="0.35">
      <c r="A61" t="s">
        <v>93</v>
      </c>
      <c r="B61" t="s">
        <v>74</v>
      </c>
      <c r="C61" s="3" t="s">
        <v>24</v>
      </c>
      <c r="D61" s="3">
        <v>22</v>
      </c>
      <c r="E61" s="3" t="s">
        <v>25</v>
      </c>
      <c r="F61" s="3">
        <v>20</v>
      </c>
      <c r="G61" t="s">
        <v>93</v>
      </c>
      <c r="I61" s="3">
        <v>0</v>
      </c>
      <c r="J61" s="10" t="str">
        <f>Taulukko11[[#This Row],[Nimi]]</f>
        <v>Linnea Laitala</v>
      </c>
      <c r="L61" s="3">
        <v>0</v>
      </c>
      <c r="M61" s="3">
        <f>Taulukko11[[#This Row],[Pisteet]]+Taulukko11[[#This Row],[Pisteet2]]+Taulukko11[[#This Row],[pisteet3]]+Taulukko11[[#This Row],[pisteet4]]</f>
        <v>42</v>
      </c>
      <c r="N61" s="3">
        <f>Taulukko11[[#This Row],[Seurapisteet]]-MIN(L61,I61,F61,D61)</f>
        <v>42</v>
      </c>
      <c r="O61" s="3">
        <v>13</v>
      </c>
    </row>
    <row r="62" spans="1:15" x14ac:dyDescent="0.35">
      <c r="A62" t="s">
        <v>87</v>
      </c>
      <c r="B62" t="s">
        <v>86</v>
      </c>
      <c r="C62" s="3" t="s">
        <v>18</v>
      </c>
      <c r="D62" s="3">
        <v>40</v>
      </c>
      <c r="F62" s="3">
        <v>0</v>
      </c>
      <c r="G62" t="s">
        <v>87</v>
      </c>
      <c r="I62" s="3">
        <v>0</v>
      </c>
      <c r="J62" s="10" t="str">
        <f>Taulukko11[[#This Row],[Nimi]]</f>
        <v>Iida Lindell</v>
      </c>
      <c r="L62" s="3">
        <v>0</v>
      </c>
      <c r="M62" s="3">
        <f>Taulukko11[[#This Row],[Pisteet]]+Taulukko11[[#This Row],[Pisteet2]]+Taulukko11[[#This Row],[pisteet3]]+Taulukko11[[#This Row],[pisteet4]]</f>
        <v>40</v>
      </c>
      <c r="N62" s="3">
        <f>Taulukko11[[#This Row],[Seurapisteet]]-MIN(L62,I62,F62,D62)</f>
        <v>40</v>
      </c>
      <c r="O62" s="3">
        <v>14</v>
      </c>
    </row>
    <row r="63" spans="1:15" x14ac:dyDescent="0.35">
      <c r="A63" t="s">
        <v>99</v>
      </c>
      <c r="B63" t="s">
        <v>100</v>
      </c>
      <c r="D63" s="3">
        <v>0</v>
      </c>
      <c r="E63" s="3" t="s">
        <v>24</v>
      </c>
      <c r="F63" s="3">
        <v>22</v>
      </c>
      <c r="G63" t="s">
        <v>99</v>
      </c>
      <c r="I63" s="3">
        <v>0</v>
      </c>
      <c r="J63" s="10" t="str">
        <f>Taulukko11[[#This Row],[Nimi]]</f>
        <v>Fiia Myllylahti</v>
      </c>
      <c r="K63" s="4"/>
      <c r="L63" s="3">
        <v>0</v>
      </c>
      <c r="M63" s="3">
        <f>Taulukko11[[#This Row],[Pisteet]]+Taulukko11[[#This Row],[Pisteet2]]+Taulukko11[[#This Row],[pisteet3]]+Taulukko11[[#This Row],[pisteet4]]</f>
        <v>22</v>
      </c>
      <c r="N63" s="3">
        <f>Taulukko11[[#This Row],[Seurapisteet]]-MIN(L63,I63,F63,D63)</f>
        <v>22</v>
      </c>
      <c r="O63" s="3">
        <v>15</v>
      </c>
    </row>
    <row r="64" spans="1:15" x14ac:dyDescent="0.35">
      <c r="A64" t="s">
        <v>95</v>
      </c>
      <c r="B64" t="s">
        <v>94</v>
      </c>
      <c r="C64" s="3" t="s">
        <v>25</v>
      </c>
      <c r="D64" s="3">
        <v>20</v>
      </c>
      <c r="F64" s="3">
        <v>0</v>
      </c>
      <c r="G64" t="s">
        <v>95</v>
      </c>
      <c r="I64" s="3">
        <v>0</v>
      </c>
      <c r="J64" s="10" t="str">
        <f>Taulukko11[[#This Row],[Nimi]]</f>
        <v xml:space="preserve">	Tuua Koskela</v>
      </c>
      <c r="K64" s="4"/>
      <c r="L64" s="3">
        <v>0</v>
      </c>
      <c r="M64" s="3">
        <f>Taulukko11[[#This Row],[Pisteet]]+Taulukko11[[#This Row],[Pisteet2]]+Taulukko11[[#This Row],[pisteet3]]+Taulukko11[[#This Row],[pisteet4]]</f>
        <v>20</v>
      </c>
      <c r="N64" s="3">
        <f>Taulukko11[[#This Row],[Seurapisteet]]-MIN(L64,I64,F64,D64)</f>
        <v>20</v>
      </c>
      <c r="O64" s="3">
        <v>16</v>
      </c>
    </row>
    <row r="65" spans="1:15" x14ac:dyDescent="0.35">
      <c r="M65" s="4"/>
    </row>
    <row r="66" spans="1:15" x14ac:dyDescent="0.35">
      <c r="M66" s="4"/>
    </row>
    <row r="67" spans="1:15" x14ac:dyDescent="0.35">
      <c r="K67" s="10"/>
      <c r="L67" s="10"/>
      <c r="M67" s="10"/>
      <c r="N67" s="10"/>
      <c r="O67" s="10"/>
    </row>
    <row r="68" spans="1:15" x14ac:dyDescent="0.35">
      <c r="M68" s="4"/>
    </row>
    <row r="69" spans="1:15" x14ac:dyDescent="0.35">
      <c r="B69" t="s">
        <v>102</v>
      </c>
      <c r="M69" s="4"/>
    </row>
    <row r="70" spans="1:15" x14ac:dyDescent="0.35">
      <c r="C70" s="3" t="s">
        <v>44</v>
      </c>
      <c r="E70" s="3" t="s">
        <v>43</v>
      </c>
      <c r="H70" s="3" t="s">
        <v>172</v>
      </c>
      <c r="K70" s="10" t="s">
        <v>181</v>
      </c>
      <c r="L70" s="10"/>
      <c r="M70" s="10" t="s">
        <v>186</v>
      </c>
    </row>
    <row r="71" spans="1:15" x14ac:dyDescent="0.35">
      <c r="A71" t="s">
        <v>1</v>
      </c>
      <c r="B71" t="s">
        <v>2</v>
      </c>
      <c r="C71" s="3" t="s">
        <v>3</v>
      </c>
      <c r="D71" s="3" t="s">
        <v>0</v>
      </c>
      <c r="E71" s="3" t="s">
        <v>58</v>
      </c>
      <c r="F71" s="3" t="s">
        <v>62</v>
      </c>
      <c r="G71" t="s">
        <v>101</v>
      </c>
      <c r="H71" s="3" t="s">
        <v>173</v>
      </c>
      <c r="I71" s="3" t="s">
        <v>175</v>
      </c>
      <c r="J71" s="10" t="s">
        <v>78</v>
      </c>
      <c r="K71" s="10" t="s">
        <v>183</v>
      </c>
      <c r="L71" s="10" t="s">
        <v>184</v>
      </c>
      <c r="M71" s="10" t="s">
        <v>187</v>
      </c>
      <c r="N71" s="10" t="s">
        <v>188</v>
      </c>
      <c r="O71" s="10" t="s">
        <v>185</v>
      </c>
    </row>
    <row r="72" spans="1:15" x14ac:dyDescent="0.35">
      <c r="A72" t="s">
        <v>103</v>
      </c>
      <c r="B72" t="s">
        <v>51</v>
      </c>
      <c r="C72" s="3" t="s">
        <v>13</v>
      </c>
      <c r="D72" s="3">
        <v>100</v>
      </c>
      <c r="E72" s="3" t="s">
        <v>13</v>
      </c>
      <c r="F72" s="3">
        <v>100</v>
      </c>
      <c r="G72" t="s">
        <v>103</v>
      </c>
      <c r="H72" s="3">
        <v>3</v>
      </c>
      <c r="I72" s="3">
        <v>60</v>
      </c>
      <c r="J72" s="10" t="str">
        <f>Taulukko4[[#This Row],[Nimi]]</f>
        <v>Iivari Murto</v>
      </c>
      <c r="K72" s="3">
        <v>2</v>
      </c>
      <c r="L72" s="3">
        <v>80</v>
      </c>
      <c r="M72" s="3">
        <f>Taulukko4[[#This Row],[Pisteet]]+Taulukko4[[#This Row],[Pisteet2]]+Taulukko4[[#This Row],[pisteet3]]+Taulukko4[[#This Row],[pisteet4]]</f>
        <v>340</v>
      </c>
      <c r="N72" s="3">
        <f>Taulukko4[[#This Row],[Seurapisteet]]-MIN(L72,I72,F72,D72)</f>
        <v>280</v>
      </c>
      <c r="O72" s="3">
        <v>1</v>
      </c>
    </row>
    <row r="73" spans="1:15" x14ac:dyDescent="0.35">
      <c r="A73" t="s">
        <v>104</v>
      </c>
      <c r="B73" t="s">
        <v>8</v>
      </c>
      <c r="C73" s="3" t="s">
        <v>14</v>
      </c>
      <c r="D73" s="3">
        <v>80</v>
      </c>
      <c r="E73" s="3" t="s">
        <v>14</v>
      </c>
      <c r="F73" s="3">
        <v>80</v>
      </c>
      <c r="G73" t="s">
        <v>104</v>
      </c>
      <c r="H73" s="3">
        <v>1</v>
      </c>
      <c r="I73" s="3">
        <v>100</v>
      </c>
      <c r="J73" s="10" t="str">
        <f>Taulukko4[[#This Row],[Nimi]]</f>
        <v xml:space="preserve">	Atte Kähtävä</v>
      </c>
      <c r="K73" s="3">
        <v>1</v>
      </c>
      <c r="L73" s="3">
        <v>100</v>
      </c>
      <c r="M73" s="3">
        <f>Taulukko4[[#This Row],[Pisteet]]+Taulukko4[[#This Row],[Pisteet2]]+Taulukko4[[#This Row],[pisteet3]]+Taulukko4[[#This Row],[pisteet4]]</f>
        <v>360</v>
      </c>
      <c r="N73" s="3">
        <f>Taulukko4[[#This Row],[Seurapisteet]]-MIN(L73,I73,F73,D73)</f>
        <v>280</v>
      </c>
      <c r="O73" s="3">
        <v>2</v>
      </c>
    </row>
    <row r="74" spans="1:15" x14ac:dyDescent="0.35">
      <c r="A74" t="s">
        <v>107</v>
      </c>
      <c r="B74" t="s">
        <v>64</v>
      </c>
      <c r="C74" s="3" t="s">
        <v>17</v>
      </c>
      <c r="D74" s="3">
        <v>45</v>
      </c>
      <c r="E74" s="3" t="s">
        <v>16</v>
      </c>
      <c r="F74" s="3">
        <v>50</v>
      </c>
      <c r="G74" t="s">
        <v>107</v>
      </c>
      <c r="H74" s="3">
        <v>6</v>
      </c>
      <c r="I74" s="3">
        <v>40</v>
      </c>
      <c r="J74" s="10" t="str">
        <f>Taulukko4[[#This Row],[Nimi]]</f>
        <v>Amiel Lidsle</v>
      </c>
      <c r="K74" s="3">
        <v>4</v>
      </c>
      <c r="L74" s="3">
        <v>50</v>
      </c>
      <c r="M74" s="3">
        <f>Taulukko4[[#This Row],[Pisteet]]+Taulukko4[[#This Row],[Pisteet2]]+Taulukko4[[#This Row],[pisteet3]]+Taulukko4[[#This Row],[pisteet4]]</f>
        <v>185</v>
      </c>
      <c r="N74" s="3">
        <f>Taulukko4[[#This Row],[Seurapisteet]]-MIN(L74,I74,F74,D74)</f>
        <v>145</v>
      </c>
      <c r="O74" s="3">
        <v>3</v>
      </c>
    </row>
    <row r="75" spans="1:15" x14ac:dyDescent="0.35">
      <c r="A75" t="s">
        <v>106</v>
      </c>
      <c r="B75" t="s">
        <v>8</v>
      </c>
      <c r="C75" s="3" t="s">
        <v>16</v>
      </c>
      <c r="D75" s="3">
        <v>50</v>
      </c>
      <c r="E75" s="3" t="s">
        <v>17</v>
      </c>
      <c r="F75" s="3">
        <v>45</v>
      </c>
      <c r="G75" t="s">
        <v>106</v>
      </c>
      <c r="H75" s="3">
        <v>5</v>
      </c>
      <c r="I75" s="3">
        <v>45</v>
      </c>
      <c r="J75" s="10" t="str">
        <f>Taulukko4[[#This Row],[Nimi]]</f>
        <v xml:space="preserve">	Peetu Polet</v>
      </c>
      <c r="K75" s="3">
        <v>5</v>
      </c>
      <c r="L75" s="3">
        <v>45</v>
      </c>
      <c r="M75" s="3">
        <f>Taulukko4[[#This Row],[Pisteet]]+Taulukko4[[#This Row],[Pisteet2]]+Taulukko4[[#This Row],[pisteet3]]+Taulukko4[[#This Row],[pisteet4]]</f>
        <v>185</v>
      </c>
      <c r="N75" s="3">
        <f>Taulukko4[[#This Row],[Seurapisteet]]-MIN(L75,I75,F75,D75)</f>
        <v>140</v>
      </c>
      <c r="O75" s="3">
        <v>4</v>
      </c>
    </row>
    <row r="76" spans="1:15" x14ac:dyDescent="0.35">
      <c r="A76" t="s">
        <v>111</v>
      </c>
      <c r="B76" t="s">
        <v>112</v>
      </c>
      <c r="D76" s="3">
        <v>0</v>
      </c>
      <c r="E76" s="3" t="s">
        <v>15</v>
      </c>
      <c r="F76" s="3">
        <v>60</v>
      </c>
      <c r="G76" t="s">
        <v>111</v>
      </c>
      <c r="I76" s="3">
        <v>0</v>
      </c>
      <c r="J76" s="10" t="str">
        <f>Taulukko4[[#This Row],[Nimi]]</f>
        <v xml:space="preserve">Armas Einari Karsikas </v>
      </c>
      <c r="K76" s="3">
        <v>3</v>
      </c>
      <c r="L76" s="3">
        <v>60</v>
      </c>
      <c r="M76" s="3">
        <f>Taulukko4[[#This Row],[Pisteet]]+Taulukko4[[#This Row],[Pisteet2]]+Taulukko4[[#This Row],[pisteet3]]+Taulukko4[[#This Row],[pisteet4]]</f>
        <v>120</v>
      </c>
      <c r="N76" s="3">
        <f>Taulukko4[[#This Row],[Seurapisteet]]-MIN(L76,I76,F76,D76)</f>
        <v>120</v>
      </c>
      <c r="O76" s="3">
        <v>5</v>
      </c>
    </row>
    <row r="77" spans="1:15" x14ac:dyDescent="0.35">
      <c r="A77" t="s">
        <v>105</v>
      </c>
      <c r="B77" t="s">
        <v>8</v>
      </c>
      <c r="C77" s="3" t="s">
        <v>15</v>
      </c>
      <c r="D77" s="3">
        <v>60</v>
      </c>
      <c r="F77" s="3">
        <v>0</v>
      </c>
      <c r="G77" t="s">
        <v>105</v>
      </c>
      <c r="H77" s="3">
        <v>4</v>
      </c>
      <c r="I77" s="3">
        <v>50</v>
      </c>
      <c r="J77" s="10" t="str">
        <f>Taulukko4[[#This Row],[Nimi]]</f>
        <v>Kaapo Väisänen</v>
      </c>
      <c r="L77" s="3">
        <v>0</v>
      </c>
      <c r="M77" s="3">
        <f>Taulukko4[[#This Row],[Pisteet]]+Taulukko4[[#This Row],[Pisteet2]]+Taulukko4[[#This Row],[pisteet3]]+Taulukko4[[#This Row],[pisteet4]]</f>
        <v>110</v>
      </c>
      <c r="N77" s="3">
        <f>Taulukko4[[#This Row],[Seurapisteet]]-MIN(L77,I77,F77,D77)</f>
        <v>110</v>
      </c>
      <c r="O77" s="3">
        <v>6</v>
      </c>
    </row>
    <row r="78" spans="1:15" x14ac:dyDescent="0.35">
      <c r="A78" t="s">
        <v>110</v>
      </c>
      <c r="B78" t="s">
        <v>5</v>
      </c>
      <c r="C78" s="3" t="s">
        <v>20</v>
      </c>
      <c r="D78" s="3">
        <v>32</v>
      </c>
      <c r="E78" s="3" t="s">
        <v>20</v>
      </c>
      <c r="F78" s="3">
        <v>32</v>
      </c>
      <c r="G78" t="s">
        <v>110</v>
      </c>
      <c r="H78" s="3">
        <v>7</v>
      </c>
      <c r="I78" s="3">
        <v>36</v>
      </c>
      <c r="J78" s="10" t="str">
        <f>Taulukko4[[#This Row],[Nimi]]</f>
        <v>Atso Oja</v>
      </c>
      <c r="K78" s="3">
        <v>6</v>
      </c>
      <c r="L78" s="3">
        <v>40</v>
      </c>
      <c r="M78" s="3">
        <f>Taulukko4[[#This Row],[Pisteet]]+Taulukko4[[#This Row],[Pisteet2]]+Taulukko4[[#This Row],[pisteet3]]+Taulukko4[[#This Row],[pisteet4]]</f>
        <v>140</v>
      </c>
      <c r="N78" s="3">
        <f>Taulukko4[[#This Row],[Seurapisteet]]-MIN(L78,I78,F78,D78)</f>
        <v>108</v>
      </c>
      <c r="O78" s="3">
        <v>7</v>
      </c>
    </row>
    <row r="79" spans="1:15" x14ac:dyDescent="0.35">
      <c r="A79" t="s">
        <v>109</v>
      </c>
      <c r="B79" t="s">
        <v>11</v>
      </c>
      <c r="C79" s="3" t="s">
        <v>18</v>
      </c>
      <c r="D79" s="3">
        <v>40</v>
      </c>
      <c r="E79" s="3" t="s">
        <v>18</v>
      </c>
      <c r="F79" s="3">
        <v>40</v>
      </c>
      <c r="G79" t="s">
        <v>109</v>
      </c>
      <c r="I79" s="3">
        <v>0</v>
      </c>
      <c r="J79" s="10" t="str">
        <f>Taulukko4[[#This Row],[Nimi]]</f>
        <v>Aku Hylkilä</v>
      </c>
      <c r="L79" s="3">
        <v>0</v>
      </c>
      <c r="M79" s="3">
        <f>Taulukko4[[#This Row],[Pisteet]]+Taulukko4[[#This Row],[Pisteet2]]+Taulukko4[[#This Row],[pisteet3]]+Taulukko4[[#This Row],[pisteet4]]</f>
        <v>80</v>
      </c>
      <c r="N79" s="3">
        <f>Taulukko4[[#This Row],[Seurapisteet]]-MIN(L79,I79,F79,D79)</f>
        <v>80</v>
      </c>
      <c r="O79" s="3">
        <v>8</v>
      </c>
    </row>
    <row r="80" spans="1:15" x14ac:dyDescent="0.35">
      <c r="A80" t="s">
        <v>178</v>
      </c>
      <c r="B80" t="s">
        <v>64</v>
      </c>
      <c r="D80" s="3">
        <v>0</v>
      </c>
      <c r="F80" s="3">
        <v>0</v>
      </c>
      <c r="G80" t="s">
        <v>178</v>
      </c>
      <c r="H80" s="3">
        <v>2</v>
      </c>
      <c r="I80" s="3">
        <v>80</v>
      </c>
      <c r="J80" s="10" t="str">
        <f>Taulukko4[[#This Row],[Nimi]]</f>
        <v>Iivo Fränti</v>
      </c>
      <c r="L80" s="3">
        <v>0</v>
      </c>
      <c r="M80" s="3">
        <f>Taulukko4[[#This Row],[Pisteet]]+Taulukko4[[#This Row],[Pisteet2]]+Taulukko4[[#This Row],[pisteet3]]+Taulukko4[[#This Row],[pisteet4]]</f>
        <v>80</v>
      </c>
      <c r="N80" s="3">
        <f>Taulukko4[[#This Row],[Seurapisteet]]-MIN(L80,I80,F80,D80)</f>
        <v>80</v>
      </c>
      <c r="O80" s="3">
        <v>9</v>
      </c>
    </row>
    <row r="81" spans="1:15" x14ac:dyDescent="0.35">
      <c r="A81" t="s">
        <v>108</v>
      </c>
      <c r="B81" t="s">
        <v>5</v>
      </c>
      <c r="C81" s="3" t="s">
        <v>19</v>
      </c>
      <c r="D81" s="3">
        <v>36</v>
      </c>
      <c r="E81" s="3" t="s">
        <v>19</v>
      </c>
      <c r="F81" s="3">
        <v>36</v>
      </c>
      <c r="G81" t="s">
        <v>108</v>
      </c>
      <c r="I81" s="3">
        <v>0</v>
      </c>
      <c r="J81" s="10" t="str">
        <f>Taulukko4[[#This Row],[Nimi]]</f>
        <v xml:space="preserve">	Leevi Lindell</v>
      </c>
      <c r="L81" s="3">
        <v>0</v>
      </c>
      <c r="M81" s="3">
        <f>Taulukko4[[#This Row],[Pisteet]]+Taulukko4[[#This Row],[Pisteet2]]+Taulukko4[[#This Row],[pisteet3]]+Taulukko4[[#This Row],[pisteet4]]</f>
        <v>72</v>
      </c>
      <c r="N81" s="3">
        <f>Taulukko4[[#This Row],[Seurapisteet]]-MIN(L81,I81,F81,D81)</f>
        <v>72</v>
      </c>
      <c r="O81" s="3">
        <v>10</v>
      </c>
    </row>
    <row r="82" spans="1:15" x14ac:dyDescent="0.35">
      <c r="A82" t="s">
        <v>193</v>
      </c>
      <c r="B82" t="s">
        <v>11</v>
      </c>
      <c r="D82" s="3">
        <v>0</v>
      </c>
      <c r="F82" s="3">
        <v>0</v>
      </c>
      <c r="I82" s="3">
        <v>0</v>
      </c>
      <c r="J82" s="10" t="str">
        <f>Taulukko4[[#This Row],[Nimi]]</f>
        <v>Niilo Lokkila</v>
      </c>
      <c r="K82" s="3">
        <v>7</v>
      </c>
      <c r="L82" s="3">
        <v>36</v>
      </c>
      <c r="M82" s="3">
        <f>Taulukko4[[#This Row],[Pisteet]]+Taulukko4[[#This Row],[Pisteet2]]+Taulukko4[[#This Row],[pisteet3]]+Taulukko4[[#This Row],[pisteet4]]</f>
        <v>36</v>
      </c>
      <c r="N82" s="3">
        <f>Taulukko4[[#This Row],[Seurapisteet]]-MIN(L82,I82,F82,D82)</f>
        <v>36</v>
      </c>
      <c r="O82" s="3">
        <v>11</v>
      </c>
    </row>
    <row r="83" spans="1:15" x14ac:dyDescent="0.35">
      <c r="M83" s="4"/>
    </row>
    <row r="84" spans="1:15" x14ac:dyDescent="0.35">
      <c r="B84" t="s">
        <v>113</v>
      </c>
      <c r="M84" s="4"/>
    </row>
    <row r="85" spans="1:15" x14ac:dyDescent="0.35">
      <c r="C85" s="3" t="s">
        <v>44</v>
      </c>
      <c r="E85" s="3" t="s">
        <v>43</v>
      </c>
      <c r="H85" s="3" t="s">
        <v>172</v>
      </c>
      <c r="K85" s="10" t="s">
        <v>181</v>
      </c>
      <c r="L85" s="10"/>
      <c r="M85" s="10" t="s">
        <v>186</v>
      </c>
    </row>
    <row r="86" spans="1:15" x14ac:dyDescent="0.35">
      <c r="A86" t="s">
        <v>1</v>
      </c>
      <c r="B86" t="s">
        <v>2</v>
      </c>
      <c r="C86" s="3" t="s">
        <v>3</v>
      </c>
      <c r="D86" s="3" t="s">
        <v>0</v>
      </c>
      <c r="E86" s="3" t="s">
        <v>58</v>
      </c>
      <c r="F86" s="3" t="s">
        <v>62</v>
      </c>
      <c r="G86" t="s">
        <v>101</v>
      </c>
      <c r="H86" s="3" t="s">
        <v>173</v>
      </c>
      <c r="I86" s="3" t="s">
        <v>175</v>
      </c>
      <c r="J86" s="10" t="s">
        <v>78</v>
      </c>
      <c r="K86" s="10" t="s">
        <v>183</v>
      </c>
      <c r="L86" s="10" t="s">
        <v>184</v>
      </c>
      <c r="M86" s="10" t="s">
        <v>187</v>
      </c>
      <c r="N86" s="10" t="s">
        <v>188</v>
      </c>
      <c r="O86" s="10" t="s">
        <v>185</v>
      </c>
    </row>
    <row r="87" spans="1:15" x14ac:dyDescent="0.35">
      <c r="A87" t="s">
        <v>114</v>
      </c>
      <c r="B87" t="s">
        <v>64</v>
      </c>
      <c r="C87" s="3" t="s">
        <v>13</v>
      </c>
      <c r="D87" s="3">
        <v>100</v>
      </c>
      <c r="E87" s="3" t="s">
        <v>13</v>
      </c>
      <c r="F87" s="3">
        <v>100</v>
      </c>
      <c r="G87" t="s">
        <v>114</v>
      </c>
      <c r="H87" s="3">
        <v>1</v>
      </c>
      <c r="I87" s="3">
        <v>100</v>
      </c>
      <c r="J87" s="3" t="str">
        <f>Taulukko8[[#This Row],[Nimi]]</f>
        <v>Eeda Pietilä</v>
      </c>
      <c r="L87" s="3">
        <v>0</v>
      </c>
      <c r="M87" s="3">
        <f>Taulukko8[[#This Row],[pisteet4]]+Taulukko8[[#This Row],[pisteet3]]+Taulukko8[[#This Row],[Pisteet2]]+Taulukko8[[#This Row],[Pisteet]]</f>
        <v>300</v>
      </c>
      <c r="N87" s="3">
        <f>Taulukko8[[#This Row],[Seurapisteet]]-MIN(L87,I87,F87,D87)</f>
        <v>300</v>
      </c>
      <c r="O87" s="3">
        <v>1</v>
      </c>
    </row>
    <row r="88" spans="1:15" x14ac:dyDescent="0.35">
      <c r="A88" t="s">
        <v>115</v>
      </c>
      <c r="B88" t="s">
        <v>100</v>
      </c>
      <c r="C88" s="3" t="s">
        <v>14</v>
      </c>
      <c r="D88" s="3">
        <v>80</v>
      </c>
      <c r="E88" s="3" t="s">
        <v>14</v>
      </c>
      <c r="F88" s="3">
        <v>80</v>
      </c>
      <c r="G88" t="s">
        <v>115</v>
      </c>
      <c r="H88" s="3">
        <v>2</v>
      </c>
      <c r="I88" s="3">
        <v>80</v>
      </c>
      <c r="J88" s="3" t="str">
        <f>Taulukko8[[#This Row],[Nimi]]</f>
        <v xml:space="preserve">	Iida Koski-Vähälä</v>
      </c>
      <c r="K88" s="3">
        <v>1</v>
      </c>
      <c r="L88" s="3">
        <v>100</v>
      </c>
      <c r="M88" s="3">
        <f>Taulukko8[[#This Row],[pisteet4]]+Taulukko8[[#This Row],[pisteet3]]+Taulukko8[[#This Row],[Pisteet2]]+Taulukko8[[#This Row],[Pisteet]]</f>
        <v>340</v>
      </c>
      <c r="N88" s="3">
        <f>Taulukko8[[#This Row],[Seurapisteet]]-MIN(L88,I88,F88,D88)</f>
        <v>260</v>
      </c>
      <c r="O88" s="3">
        <v>2</v>
      </c>
    </row>
    <row r="89" spans="1:15" x14ac:dyDescent="0.35">
      <c r="A89" t="s">
        <v>116</v>
      </c>
      <c r="B89" t="s">
        <v>117</v>
      </c>
      <c r="C89" s="3" t="s">
        <v>15</v>
      </c>
      <c r="D89" s="3">
        <v>60</v>
      </c>
      <c r="E89" s="3" t="s">
        <v>17</v>
      </c>
      <c r="F89" s="3">
        <v>45</v>
      </c>
      <c r="G89" t="s">
        <v>116</v>
      </c>
      <c r="I89" s="3">
        <v>0</v>
      </c>
      <c r="J89" s="3" t="str">
        <f>Taulukko8[[#This Row],[Nimi]]</f>
        <v>Iida Harmaala</v>
      </c>
      <c r="K89" s="3">
        <v>2</v>
      </c>
      <c r="L89" s="3">
        <v>80</v>
      </c>
      <c r="M89" s="3">
        <f>Taulukko8[[#This Row],[pisteet4]]+Taulukko8[[#This Row],[pisteet3]]+Taulukko8[[#This Row],[Pisteet2]]+Taulukko8[[#This Row],[Pisteet]]</f>
        <v>185</v>
      </c>
      <c r="N89" s="3">
        <f>Taulukko8[[#This Row],[Seurapisteet]]-MIN(L89,I89,F89,D89)</f>
        <v>185</v>
      </c>
      <c r="O89" s="3">
        <v>3</v>
      </c>
    </row>
    <row r="90" spans="1:15" x14ac:dyDescent="0.35">
      <c r="A90" t="s">
        <v>122</v>
      </c>
      <c r="B90" t="s">
        <v>123</v>
      </c>
      <c r="D90" s="3">
        <v>0</v>
      </c>
      <c r="E90" s="3" t="s">
        <v>16</v>
      </c>
      <c r="F90" s="3">
        <v>50</v>
      </c>
      <c r="G90" t="s">
        <v>122</v>
      </c>
      <c r="H90" s="3">
        <v>3</v>
      </c>
      <c r="I90" s="3">
        <v>60</v>
      </c>
      <c r="J90" s="3" t="str">
        <f>Taulukko8[[#This Row],[Nimi]]</f>
        <v>Elsa Paavola</v>
      </c>
      <c r="K90" s="3">
        <v>3</v>
      </c>
      <c r="L90" s="3">
        <v>60</v>
      </c>
      <c r="M90" s="3">
        <f>Taulukko8[[#This Row],[pisteet4]]+Taulukko8[[#This Row],[pisteet3]]+Taulukko8[[#This Row],[Pisteet2]]+Taulukko8[[#This Row],[Pisteet]]</f>
        <v>170</v>
      </c>
      <c r="N90" s="3">
        <f>Taulukko8[[#This Row],[Seurapisteet]]-MIN(L90,I90,F90,D90)</f>
        <v>170</v>
      </c>
      <c r="O90" s="3">
        <v>4</v>
      </c>
    </row>
    <row r="91" spans="1:15" x14ac:dyDescent="0.35">
      <c r="A91" t="s">
        <v>118</v>
      </c>
      <c r="B91" t="s">
        <v>119</v>
      </c>
      <c r="C91" s="3" t="s">
        <v>16</v>
      </c>
      <c r="D91" s="3">
        <v>50</v>
      </c>
      <c r="E91" s="3" t="s">
        <v>18</v>
      </c>
      <c r="F91" s="3">
        <v>40</v>
      </c>
      <c r="G91" t="s">
        <v>118</v>
      </c>
      <c r="I91" s="3">
        <v>0</v>
      </c>
      <c r="J91" s="3" t="str">
        <f>Taulukko8[[#This Row],[Nimi]]</f>
        <v>Mona Haikara</v>
      </c>
      <c r="K91" s="3">
        <v>4</v>
      </c>
      <c r="L91" s="3">
        <v>50</v>
      </c>
      <c r="M91" s="3">
        <f>Taulukko8[[#This Row],[pisteet4]]+Taulukko8[[#This Row],[pisteet3]]+Taulukko8[[#This Row],[Pisteet2]]+Taulukko8[[#This Row],[Pisteet]]</f>
        <v>140</v>
      </c>
      <c r="N91" s="3">
        <f>Taulukko8[[#This Row],[Seurapisteet]]-MIN(L91,I91,F91,D91)</f>
        <v>140</v>
      </c>
      <c r="O91" s="3">
        <v>5</v>
      </c>
    </row>
    <row r="92" spans="1:15" x14ac:dyDescent="0.35">
      <c r="A92" t="s">
        <v>120</v>
      </c>
      <c r="B92" t="s">
        <v>119</v>
      </c>
      <c r="C92" s="3" t="s">
        <v>17</v>
      </c>
      <c r="D92" s="3">
        <v>45</v>
      </c>
      <c r="E92" s="3" t="s">
        <v>20</v>
      </c>
      <c r="F92" s="3">
        <v>32</v>
      </c>
      <c r="G92" t="s">
        <v>120</v>
      </c>
      <c r="I92" s="3">
        <v>0</v>
      </c>
      <c r="J92" s="3" t="str">
        <f>Taulukko8[[#This Row],[Nimi]]</f>
        <v>Sanni Marjamaa</v>
      </c>
      <c r="K92" s="3">
        <v>5</v>
      </c>
      <c r="L92" s="3">
        <v>45</v>
      </c>
      <c r="M92" s="3">
        <f>Taulukko8[[#This Row],[pisteet4]]+Taulukko8[[#This Row],[pisteet3]]+Taulukko8[[#This Row],[Pisteet2]]+Taulukko8[[#This Row],[Pisteet]]</f>
        <v>122</v>
      </c>
      <c r="N92" s="3">
        <f>Taulukko8[[#This Row],[Seurapisteet]]-MIN(L92,I92,F92,D92)</f>
        <v>122</v>
      </c>
      <c r="O92" s="3">
        <v>6</v>
      </c>
    </row>
    <row r="93" spans="1:15" x14ac:dyDescent="0.35">
      <c r="A93" t="s">
        <v>121</v>
      </c>
      <c r="B93" t="s">
        <v>100</v>
      </c>
      <c r="D93" s="3">
        <v>0</v>
      </c>
      <c r="E93" s="3" t="s">
        <v>15</v>
      </c>
      <c r="F93" s="3">
        <v>60</v>
      </c>
      <c r="G93" t="s">
        <v>121</v>
      </c>
      <c r="I93" s="3">
        <v>0</v>
      </c>
      <c r="J93" s="3" t="str">
        <f>Taulukko8[[#This Row],[Nimi]]</f>
        <v>Saaga Myllylahti</v>
      </c>
      <c r="L93" s="3">
        <v>0</v>
      </c>
      <c r="M93" s="3">
        <f>Taulukko8[[#This Row],[pisteet4]]+Taulukko8[[#This Row],[pisteet3]]+Taulukko8[[#This Row],[Pisteet2]]+Taulukko8[[#This Row],[Pisteet]]</f>
        <v>60</v>
      </c>
      <c r="N93" s="3">
        <f>Taulukko8[[#This Row],[Seurapisteet]]-MIN(L93,I93,F93,D93)</f>
        <v>60</v>
      </c>
      <c r="O93" s="3">
        <v>7</v>
      </c>
    </row>
    <row r="94" spans="1:15" x14ac:dyDescent="0.35">
      <c r="A94" t="s">
        <v>124</v>
      </c>
      <c r="B94" t="s">
        <v>100</v>
      </c>
      <c r="D94" s="3">
        <v>0</v>
      </c>
      <c r="E94" s="3" t="s">
        <v>19</v>
      </c>
      <c r="F94" s="3">
        <v>36</v>
      </c>
      <c r="G94" t="s">
        <v>124</v>
      </c>
      <c r="I94" s="3">
        <v>0</v>
      </c>
      <c r="J94" s="3" t="str">
        <f>Taulukko8[[#This Row],[Nimi]]</f>
        <v>Hilla Heinonen</v>
      </c>
      <c r="L94" s="3">
        <v>0</v>
      </c>
      <c r="M94" s="3">
        <f>Taulukko8[[#This Row],[pisteet4]]+Taulukko8[[#This Row],[pisteet3]]+Taulukko8[[#This Row],[Pisteet2]]+Taulukko8[[#This Row],[Pisteet]]</f>
        <v>36</v>
      </c>
      <c r="N94" s="3">
        <f>Taulukko8[[#This Row],[Seurapisteet]]-MIN(L94,I94,F94,D94)</f>
        <v>36</v>
      </c>
      <c r="O94" s="3">
        <v>8</v>
      </c>
    </row>
    <row r="95" spans="1:15" x14ac:dyDescent="0.35">
      <c r="M95" s="4"/>
    </row>
    <row r="96" spans="1:15" x14ac:dyDescent="0.35">
      <c r="M96" s="4"/>
    </row>
    <row r="97" spans="1:15" x14ac:dyDescent="0.35">
      <c r="M97" s="4"/>
    </row>
    <row r="98" spans="1:15" x14ac:dyDescent="0.35">
      <c r="B98" t="s">
        <v>125</v>
      </c>
      <c r="M98" s="4"/>
    </row>
    <row r="99" spans="1:15" x14ac:dyDescent="0.35">
      <c r="C99" s="3" t="s">
        <v>44</v>
      </c>
      <c r="E99" s="3" t="s">
        <v>43</v>
      </c>
      <c r="H99" s="3" t="s">
        <v>172</v>
      </c>
      <c r="K99" s="10" t="s">
        <v>181</v>
      </c>
      <c r="L99" s="10"/>
      <c r="M99" s="10" t="s">
        <v>186</v>
      </c>
    </row>
    <row r="100" spans="1:15" x14ac:dyDescent="0.35">
      <c r="A100" t="s">
        <v>1</v>
      </c>
      <c r="B100" t="s">
        <v>2</v>
      </c>
      <c r="C100" s="3" t="s">
        <v>3</v>
      </c>
      <c r="D100" s="3" t="s">
        <v>0</v>
      </c>
      <c r="E100" s="3" t="s">
        <v>58</v>
      </c>
      <c r="F100" s="3" t="s">
        <v>62</v>
      </c>
      <c r="G100" t="s">
        <v>101</v>
      </c>
      <c r="H100" s="3" t="s">
        <v>173</v>
      </c>
      <c r="I100" s="3" t="s">
        <v>175</v>
      </c>
      <c r="J100" s="10" t="s">
        <v>78</v>
      </c>
      <c r="K100" s="10" t="s">
        <v>183</v>
      </c>
      <c r="L100" s="10" t="s">
        <v>184</v>
      </c>
      <c r="M100" s="10" t="s">
        <v>187</v>
      </c>
      <c r="N100" s="10" t="s">
        <v>188</v>
      </c>
      <c r="O100" s="10" t="s">
        <v>185</v>
      </c>
    </row>
    <row r="101" spans="1:15" x14ac:dyDescent="0.35">
      <c r="A101" t="s">
        <v>126</v>
      </c>
      <c r="B101" t="s">
        <v>8</v>
      </c>
      <c r="C101" s="3" t="s">
        <v>13</v>
      </c>
      <c r="D101" s="3">
        <v>100</v>
      </c>
      <c r="E101" s="3" t="s">
        <v>13</v>
      </c>
      <c r="F101" s="3">
        <v>100</v>
      </c>
      <c r="G101" t="s">
        <v>126</v>
      </c>
      <c r="H101" s="3">
        <v>2</v>
      </c>
      <c r="I101" s="3">
        <v>80</v>
      </c>
      <c r="J101" s="3" t="str">
        <f>Taulukko9[[#This Row],[Nimi]]</f>
        <v>Oliver Rahja</v>
      </c>
      <c r="K101" s="3">
        <v>3</v>
      </c>
      <c r="L101" s="3">
        <v>60</v>
      </c>
      <c r="M101" s="3">
        <f>Taulukko9[[#This Row],[Pisteet]]+Taulukko9[[#This Row],[Pisteet2]]+Taulukko9[[#This Row],[pisteet3]]+Taulukko9[[#This Row],[pisteet4]]</f>
        <v>340</v>
      </c>
      <c r="N101" s="3">
        <f>Taulukko9[[#This Row],[Seurapisteet]]-MIN(L101,I101,F101,D101)</f>
        <v>280</v>
      </c>
      <c r="O101" s="3">
        <v>1</v>
      </c>
    </row>
    <row r="102" spans="1:15" x14ac:dyDescent="0.35">
      <c r="A102" t="s">
        <v>127</v>
      </c>
      <c r="B102" t="s">
        <v>5</v>
      </c>
      <c r="C102" s="3" t="s">
        <v>14</v>
      </c>
      <c r="D102" s="3">
        <v>80</v>
      </c>
      <c r="E102" s="3" t="s">
        <v>16</v>
      </c>
      <c r="F102" s="3">
        <v>50</v>
      </c>
      <c r="G102" t="s">
        <v>127</v>
      </c>
      <c r="H102" s="3">
        <v>1</v>
      </c>
      <c r="I102" s="3">
        <v>100</v>
      </c>
      <c r="J102" s="3" t="str">
        <f>Taulukko9[[#This Row],[Nimi]]</f>
        <v xml:space="preserve">	Eino Kyösti</v>
      </c>
      <c r="K102" s="3">
        <v>2</v>
      </c>
      <c r="L102" s="3">
        <v>80</v>
      </c>
      <c r="M102" s="3">
        <f>Taulukko9[[#This Row],[Pisteet]]+Taulukko9[[#This Row],[Pisteet2]]+Taulukko9[[#This Row],[pisteet3]]+Taulukko9[[#This Row],[pisteet4]]</f>
        <v>310</v>
      </c>
      <c r="N102" s="3">
        <f>Taulukko9[[#This Row],[Seurapisteet]]-MIN(L102,I102,F102,D102)</f>
        <v>260</v>
      </c>
      <c r="O102" s="3">
        <v>2</v>
      </c>
    </row>
    <row r="103" spans="1:15" x14ac:dyDescent="0.35">
      <c r="A103" t="s">
        <v>129</v>
      </c>
      <c r="B103" t="s">
        <v>100</v>
      </c>
      <c r="C103" s="3" t="s">
        <v>16</v>
      </c>
      <c r="D103" s="3">
        <v>50</v>
      </c>
      <c r="E103" s="3" t="s">
        <v>14</v>
      </c>
      <c r="F103" s="3">
        <v>80</v>
      </c>
      <c r="G103" t="s">
        <v>129</v>
      </c>
      <c r="H103" s="3">
        <v>3</v>
      </c>
      <c r="I103" s="3">
        <v>60</v>
      </c>
      <c r="J103" s="3" t="str">
        <f>Taulukko9[[#This Row],[Nimi]]</f>
        <v>Evald Peltola</v>
      </c>
      <c r="L103" s="3">
        <v>0</v>
      </c>
      <c r="M103" s="3">
        <f>Taulukko9[[#This Row],[Pisteet]]+Taulukko9[[#This Row],[Pisteet2]]+Taulukko9[[#This Row],[pisteet3]]+Taulukko9[[#This Row],[pisteet4]]</f>
        <v>190</v>
      </c>
      <c r="N103" s="3">
        <f>Taulukko9[[#This Row],[Seurapisteet]]-MIN(L103,I103,F103,D103)</f>
        <v>190</v>
      </c>
      <c r="O103" s="3">
        <v>3</v>
      </c>
    </row>
    <row r="104" spans="1:15" x14ac:dyDescent="0.35">
      <c r="A104" t="s">
        <v>128</v>
      </c>
      <c r="B104" t="s">
        <v>5</v>
      </c>
      <c r="C104" s="3" t="s">
        <v>15</v>
      </c>
      <c r="D104" s="3">
        <v>60</v>
      </c>
      <c r="E104" s="3" t="s">
        <v>15</v>
      </c>
      <c r="F104" s="3">
        <v>60</v>
      </c>
      <c r="G104" t="s">
        <v>128</v>
      </c>
      <c r="I104" s="3">
        <v>0</v>
      </c>
      <c r="J104" s="3" t="str">
        <f>Taulukko9[[#This Row],[Nimi]]</f>
        <v>Eemeli Aarnio</v>
      </c>
      <c r="K104" s="3">
        <v>4</v>
      </c>
      <c r="L104" s="3">
        <v>50</v>
      </c>
      <c r="M104" s="3">
        <f>Taulukko9[[#This Row],[Pisteet]]+Taulukko9[[#This Row],[Pisteet2]]+Taulukko9[[#This Row],[pisteet3]]+Taulukko9[[#This Row],[pisteet4]]</f>
        <v>170</v>
      </c>
      <c r="N104" s="3">
        <f>Taulukko9[[#This Row],[Seurapisteet]]-MIN(L104,I104,F104,D104)</f>
        <v>170</v>
      </c>
      <c r="O104" s="3">
        <v>4</v>
      </c>
    </row>
    <row r="105" spans="1:15" x14ac:dyDescent="0.35">
      <c r="A105" t="s">
        <v>194</v>
      </c>
      <c r="B105" t="s">
        <v>64</v>
      </c>
      <c r="D105" s="3">
        <v>0</v>
      </c>
      <c r="F105" s="3">
        <v>0</v>
      </c>
      <c r="I105" s="3">
        <v>0</v>
      </c>
      <c r="J105" s="3" t="str">
        <f>Taulukko9[[#This Row],[Nimi]]</f>
        <v>Eino Kinnunen</v>
      </c>
      <c r="K105" s="3">
        <v>1</v>
      </c>
      <c r="L105" s="3">
        <v>100</v>
      </c>
      <c r="M105" s="3">
        <f>Taulukko9[[#This Row],[Pisteet]]+Taulukko9[[#This Row],[Pisteet2]]+Taulukko9[[#This Row],[pisteet3]]+Taulukko9[[#This Row],[pisteet4]]</f>
        <v>100</v>
      </c>
      <c r="N105" s="3">
        <f>Taulukko9[[#This Row],[Seurapisteet]]-MIN(L105,I105,F105,D105)</f>
        <v>100</v>
      </c>
      <c r="O105" s="3">
        <v>5</v>
      </c>
    </row>
    <row r="106" spans="1:15" x14ac:dyDescent="0.35">
      <c r="A106" t="s">
        <v>130</v>
      </c>
      <c r="B106" t="s">
        <v>112</v>
      </c>
      <c r="D106" s="3">
        <v>0</v>
      </c>
      <c r="E106" s="3" t="s">
        <v>17</v>
      </c>
      <c r="F106" s="3">
        <v>45</v>
      </c>
      <c r="G106" t="s">
        <v>130</v>
      </c>
      <c r="I106" s="3">
        <v>0</v>
      </c>
      <c r="J106" s="3" t="str">
        <f>Taulukko9[[#This Row],[Nimi]]</f>
        <v>Mika Petteri Karsikas</v>
      </c>
      <c r="L106" s="3">
        <v>0</v>
      </c>
      <c r="M106" s="3">
        <f>Taulukko9[[#This Row],[Pisteet]]+Taulukko9[[#This Row],[Pisteet2]]+Taulukko9[[#This Row],[pisteet3]]+Taulukko9[[#This Row],[pisteet4]]</f>
        <v>45</v>
      </c>
      <c r="N106" s="3">
        <f>Taulukko9[[#This Row],[Seurapisteet]]-MIN(L106,I106,F106,D106)</f>
        <v>45</v>
      </c>
      <c r="O106" s="3">
        <v>6</v>
      </c>
    </row>
    <row r="107" spans="1:15" x14ac:dyDescent="0.35">
      <c r="M107" s="4"/>
    </row>
    <row r="108" spans="1:15" x14ac:dyDescent="0.35">
      <c r="M108" s="4"/>
    </row>
    <row r="109" spans="1:15" x14ac:dyDescent="0.35">
      <c r="B109" t="s">
        <v>131</v>
      </c>
      <c r="M109" s="4"/>
    </row>
    <row r="110" spans="1:15" x14ac:dyDescent="0.35">
      <c r="C110" s="3" t="s">
        <v>44</v>
      </c>
      <c r="E110" s="3" t="s">
        <v>43</v>
      </c>
      <c r="H110" s="3" t="s">
        <v>172</v>
      </c>
      <c r="K110" s="10" t="s">
        <v>181</v>
      </c>
      <c r="L110" s="10"/>
      <c r="M110" s="10" t="s">
        <v>186</v>
      </c>
    </row>
    <row r="111" spans="1:15" x14ac:dyDescent="0.35">
      <c r="A111" t="s">
        <v>1</v>
      </c>
      <c r="B111" t="s">
        <v>2</v>
      </c>
      <c r="C111" s="3" t="s">
        <v>3</v>
      </c>
      <c r="D111" s="3" t="s">
        <v>0</v>
      </c>
      <c r="E111" s="3" t="s">
        <v>58</v>
      </c>
      <c r="F111" s="3" t="s">
        <v>62</v>
      </c>
      <c r="G111" t="s">
        <v>101</v>
      </c>
      <c r="H111" s="3" t="s">
        <v>173</v>
      </c>
      <c r="I111" s="3" t="s">
        <v>175</v>
      </c>
      <c r="J111" s="10" t="s">
        <v>78</v>
      </c>
      <c r="K111" s="10" t="s">
        <v>183</v>
      </c>
      <c r="L111" s="10" t="s">
        <v>184</v>
      </c>
      <c r="M111" s="10" t="s">
        <v>187</v>
      </c>
      <c r="N111" s="10" t="s">
        <v>188</v>
      </c>
      <c r="O111" s="10" t="s">
        <v>185</v>
      </c>
    </row>
    <row r="112" spans="1:15" x14ac:dyDescent="0.35">
      <c r="A112" t="s">
        <v>132</v>
      </c>
      <c r="B112" t="s">
        <v>133</v>
      </c>
      <c r="C112" s="3" t="s">
        <v>13</v>
      </c>
      <c r="D112" s="3">
        <v>100</v>
      </c>
      <c r="E112" s="3" t="s">
        <v>14</v>
      </c>
      <c r="F112" s="3">
        <v>80</v>
      </c>
      <c r="G112" t="s">
        <v>132</v>
      </c>
      <c r="H112" s="3">
        <v>1</v>
      </c>
      <c r="I112" s="3">
        <v>100</v>
      </c>
      <c r="J112" s="3" t="str">
        <f>Taulukko13[[#This Row],[Nimi]]</f>
        <v>Essi Kola</v>
      </c>
      <c r="L112" s="3">
        <v>0</v>
      </c>
      <c r="M112" s="3">
        <f>Taulukko13[[#This Row],[Pisteet]]+Taulukko13[[#This Row],[Pisteet2]]+Taulukko13[[#This Row],[pisteet3]]+Taulukko13[[#This Row],[pisteet4]]</f>
        <v>280</v>
      </c>
      <c r="N112" s="3">
        <f>Taulukko13[[#This Row],[Seurapisteet]]-MIN(L112,I112,F112,D112)</f>
        <v>280</v>
      </c>
      <c r="O112" s="3">
        <v>1</v>
      </c>
    </row>
    <row r="113" spans="1:15" x14ac:dyDescent="0.35">
      <c r="A113" t="s">
        <v>135</v>
      </c>
      <c r="B113" t="s">
        <v>94</v>
      </c>
      <c r="C113" s="3" t="s">
        <v>15</v>
      </c>
      <c r="D113" s="3">
        <v>60</v>
      </c>
      <c r="E113" s="3" t="s">
        <v>13</v>
      </c>
      <c r="F113" s="3">
        <v>100</v>
      </c>
      <c r="G113" t="s">
        <v>135</v>
      </c>
      <c r="H113" s="3">
        <v>2</v>
      </c>
      <c r="I113" s="3">
        <v>80</v>
      </c>
      <c r="J113" s="3" t="str">
        <f>Taulukko13[[#This Row],[Nimi]]</f>
        <v>Ansa Kanala</v>
      </c>
      <c r="K113" s="3">
        <v>2</v>
      </c>
      <c r="L113" s="3">
        <v>80</v>
      </c>
      <c r="M113" s="3">
        <f>Taulukko13[[#This Row],[Pisteet]]+Taulukko13[[#This Row],[Pisteet2]]+Taulukko13[[#This Row],[pisteet3]]+Taulukko13[[#This Row],[pisteet4]]</f>
        <v>320</v>
      </c>
      <c r="N113" s="3">
        <f>Taulukko13[[#This Row],[Seurapisteet]]-MIN(L113,I113,F113,D113)</f>
        <v>260</v>
      </c>
      <c r="O113" s="3">
        <v>2</v>
      </c>
    </row>
    <row r="114" spans="1:15" x14ac:dyDescent="0.35">
      <c r="A114" t="s">
        <v>134</v>
      </c>
      <c r="B114" t="s">
        <v>119</v>
      </c>
      <c r="C114" s="3" t="s">
        <v>14</v>
      </c>
      <c r="D114" s="3">
        <v>80</v>
      </c>
      <c r="F114" s="3">
        <v>0</v>
      </c>
      <c r="G114" t="s">
        <v>134</v>
      </c>
      <c r="I114" s="3">
        <v>0</v>
      </c>
      <c r="J114" s="3" t="str">
        <f>Taulukko13[[#This Row],[Nimi]]</f>
        <v>Lilli Eerikäinen</v>
      </c>
      <c r="K114" s="3">
        <v>1</v>
      </c>
      <c r="L114" s="3">
        <v>100</v>
      </c>
      <c r="M114" s="3">
        <f>Taulukko13[[#This Row],[Pisteet]]+Taulukko13[[#This Row],[Pisteet2]]+Taulukko13[[#This Row],[pisteet3]]+Taulukko13[[#This Row],[pisteet4]]</f>
        <v>180</v>
      </c>
      <c r="N114" s="3">
        <f>Taulukko13[[#This Row],[Seurapisteet]]-MIN(L114,I114,F114,D114)</f>
        <v>180</v>
      </c>
      <c r="O114" s="3">
        <v>3</v>
      </c>
    </row>
    <row r="115" spans="1:15" x14ac:dyDescent="0.35">
      <c r="A115" t="s">
        <v>137</v>
      </c>
      <c r="B115" t="s">
        <v>74</v>
      </c>
      <c r="C115" s="3" t="s">
        <v>17</v>
      </c>
      <c r="D115" s="3">
        <v>45</v>
      </c>
      <c r="E115" s="3" t="s">
        <v>15</v>
      </c>
      <c r="F115" s="3">
        <v>60</v>
      </c>
      <c r="G115" t="s">
        <v>137</v>
      </c>
      <c r="H115" s="3">
        <v>3</v>
      </c>
      <c r="I115" s="3">
        <v>60</v>
      </c>
      <c r="J115" s="3" t="str">
        <f>Taulukko13[[#This Row],[Nimi]]</f>
        <v xml:space="preserve">	Pinja Polet</v>
      </c>
      <c r="K115" s="3">
        <v>4</v>
      </c>
      <c r="L115" s="3">
        <v>50</v>
      </c>
      <c r="M115" s="3">
        <f>Taulukko13[[#This Row],[Pisteet]]+Taulukko13[[#This Row],[Pisteet2]]+Taulukko13[[#This Row],[pisteet3]]+Taulukko13[[#This Row],[pisteet4]]</f>
        <v>215</v>
      </c>
      <c r="N115" s="3">
        <f>Taulukko13[[#This Row],[Seurapisteet]]-MIN(L115,I115,F115,D115)</f>
        <v>170</v>
      </c>
      <c r="O115" s="3">
        <v>4</v>
      </c>
    </row>
    <row r="116" spans="1:15" x14ac:dyDescent="0.35">
      <c r="A116" t="s">
        <v>136</v>
      </c>
      <c r="B116" t="s">
        <v>123</v>
      </c>
      <c r="C116" s="3" t="s">
        <v>16</v>
      </c>
      <c r="D116" s="3">
        <v>50</v>
      </c>
      <c r="F116" s="3">
        <v>0</v>
      </c>
      <c r="G116" t="s">
        <v>136</v>
      </c>
      <c r="I116" s="3">
        <v>0</v>
      </c>
      <c r="J116" s="3" t="str">
        <f>Taulukko13[[#This Row],[Nimi]]</f>
        <v>Nella Aho</v>
      </c>
      <c r="K116" s="3">
        <v>3</v>
      </c>
      <c r="L116" s="3">
        <v>60</v>
      </c>
      <c r="M116" s="3">
        <f>Taulukko13[[#This Row],[Pisteet]]+Taulukko13[[#This Row],[Pisteet2]]+Taulukko13[[#This Row],[pisteet3]]+Taulukko13[[#This Row],[pisteet4]]</f>
        <v>110</v>
      </c>
      <c r="N116" s="3">
        <f>Taulukko13[[#This Row],[Seurapisteet]]-MIN(L116,I116,F116,D116)</f>
        <v>110</v>
      </c>
      <c r="O116" s="3">
        <v>5</v>
      </c>
    </row>
    <row r="117" spans="1:15" x14ac:dyDescent="0.35">
      <c r="M117" s="4"/>
    </row>
    <row r="118" spans="1:15" x14ac:dyDescent="0.35">
      <c r="M118" s="4"/>
    </row>
    <row r="119" spans="1:15" x14ac:dyDescent="0.35">
      <c r="K119" s="10"/>
      <c r="L119" s="10"/>
      <c r="M119" s="10"/>
      <c r="N119" s="10"/>
      <c r="O119" s="10"/>
    </row>
    <row r="120" spans="1:15" x14ac:dyDescent="0.35">
      <c r="B120" t="s">
        <v>138</v>
      </c>
      <c r="M120" s="4"/>
    </row>
    <row r="121" spans="1:15" x14ac:dyDescent="0.35">
      <c r="C121" s="3" t="s">
        <v>44</v>
      </c>
      <c r="E121" s="3" t="s">
        <v>43</v>
      </c>
      <c r="H121" s="3" t="s">
        <v>172</v>
      </c>
      <c r="K121" s="10" t="s">
        <v>181</v>
      </c>
      <c r="L121" s="10"/>
      <c r="M121" s="10" t="s">
        <v>186</v>
      </c>
    </row>
    <row r="122" spans="1:15" x14ac:dyDescent="0.35">
      <c r="A122" t="s">
        <v>1</v>
      </c>
      <c r="B122" t="s">
        <v>2</v>
      </c>
      <c r="C122" s="3" t="s">
        <v>3</v>
      </c>
      <c r="D122" s="3" t="s">
        <v>0</v>
      </c>
      <c r="E122" s="3" t="s">
        <v>58</v>
      </c>
      <c r="F122" s="3" t="s">
        <v>62</v>
      </c>
      <c r="G122" t="s">
        <v>101</v>
      </c>
      <c r="H122" s="3" t="s">
        <v>173</v>
      </c>
      <c r="I122" s="3" t="s">
        <v>175</v>
      </c>
      <c r="J122" s="10" t="s">
        <v>78</v>
      </c>
      <c r="K122" s="10" t="s">
        <v>183</v>
      </c>
      <c r="L122" s="10" t="s">
        <v>184</v>
      </c>
      <c r="M122" s="10" t="s">
        <v>187</v>
      </c>
      <c r="N122" s="10" t="s">
        <v>188</v>
      </c>
      <c r="O122" s="10" t="s">
        <v>185</v>
      </c>
    </row>
    <row r="123" spans="1:15" x14ac:dyDescent="0.35">
      <c r="A123" t="s">
        <v>139</v>
      </c>
      <c r="B123" t="s">
        <v>112</v>
      </c>
      <c r="D123" s="3">
        <v>0</v>
      </c>
      <c r="E123" s="3" t="s">
        <v>13</v>
      </c>
      <c r="F123" s="3">
        <v>100</v>
      </c>
      <c r="G123" t="s">
        <v>139</v>
      </c>
      <c r="H123" s="3">
        <v>1</v>
      </c>
      <c r="I123" s="3">
        <v>100</v>
      </c>
      <c r="J123" s="3" t="str">
        <f>Taulukko14[[#This Row],[Nimi2]]</f>
        <v>Mikael Ilmari Karsikas</v>
      </c>
      <c r="K123" s="3">
        <v>1</v>
      </c>
      <c r="L123" s="3">
        <v>100</v>
      </c>
      <c r="M123" s="3">
        <f>Taulukko14[[#This Row],[pisteet4]]+Taulukko14[[#This Row],[pisteet3]]+Taulukko14[[#This Row],[Pisteet2]]+Taulukko14[[#This Row],[Pisteet]]</f>
        <v>300</v>
      </c>
      <c r="N123" s="3">
        <f>Taulukko14[[#This Row],[Seurapisteet]]-MIN(L123,I123,F123,D123)</f>
        <v>300</v>
      </c>
      <c r="O123" s="3">
        <v>1</v>
      </c>
    </row>
    <row r="124" spans="1:15" x14ac:dyDescent="0.35">
      <c r="M124" s="4"/>
    </row>
    <row r="125" spans="1:15" x14ac:dyDescent="0.35">
      <c r="M125" s="4"/>
    </row>
    <row r="126" spans="1:15" x14ac:dyDescent="0.35">
      <c r="M126" s="4"/>
    </row>
    <row r="127" spans="1:15" x14ac:dyDescent="0.35">
      <c r="B127" t="s">
        <v>140</v>
      </c>
      <c r="M127" s="4"/>
    </row>
    <row r="128" spans="1:15" x14ac:dyDescent="0.35">
      <c r="C128" s="3" t="s">
        <v>44</v>
      </c>
      <c r="E128" s="3" t="s">
        <v>43</v>
      </c>
      <c r="H128" s="3" t="s">
        <v>172</v>
      </c>
      <c r="K128" s="10" t="s">
        <v>181</v>
      </c>
      <c r="L128" s="10"/>
      <c r="M128" s="10" t="s">
        <v>186</v>
      </c>
    </row>
    <row r="129" spans="1:15" x14ac:dyDescent="0.35">
      <c r="A129" t="s">
        <v>1</v>
      </c>
      <c r="B129" t="s">
        <v>2</v>
      </c>
      <c r="C129" s="3" t="s">
        <v>3</v>
      </c>
      <c r="D129" s="3" t="s">
        <v>0</v>
      </c>
      <c r="E129" s="3" t="s">
        <v>58</v>
      </c>
      <c r="F129" s="3" t="s">
        <v>62</v>
      </c>
      <c r="G129" t="s">
        <v>101</v>
      </c>
      <c r="H129" s="3" t="s">
        <v>173</v>
      </c>
      <c r="I129" s="3" t="s">
        <v>175</v>
      </c>
      <c r="J129" s="10" t="s">
        <v>78</v>
      </c>
      <c r="K129" s="10" t="s">
        <v>183</v>
      </c>
      <c r="L129" s="10" t="s">
        <v>184</v>
      </c>
      <c r="M129" s="10" t="s">
        <v>187</v>
      </c>
      <c r="N129" s="10" t="s">
        <v>188</v>
      </c>
      <c r="O129" s="10" t="s">
        <v>185</v>
      </c>
    </row>
    <row r="130" spans="1:15" x14ac:dyDescent="0.35">
      <c r="A130" t="s">
        <v>141</v>
      </c>
      <c r="B130" t="s">
        <v>64</v>
      </c>
      <c r="C130" s="3" t="s">
        <v>13</v>
      </c>
      <c r="D130" s="3">
        <v>100</v>
      </c>
      <c r="E130" s="3" t="s">
        <v>13</v>
      </c>
      <c r="F130" s="3">
        <v>100</v>
      </c>
      <c r="G130" t="s">
        <v>141</v>
      </c>
      <c r="H130" s="3">
        <v>5</v>
      </c>
      <c r="I130" s="3">
        <v>45</v>
      </c>
      <c r="J130" s="3" t="str">
        <f>Taulukko15[[#This Row],[Nimi]]</f>
        <v>Alina Lidsle</v>
      </c>
      <c r="K130" s="3">
        <v>3</v>
      </c>
      <c r="L130" s="3">
        <v>60</v>
      </c>
      <c r="M130" s="3">
        <f>Taulukko15[[#This Row],[Pisteet]]+Taulukko15[[#This Row],[Pisteet2]]+Taulukko15[[#This Row],[pisteet3]]+Taulukko15[[#This Row],[pisteet4]]</f>
        <v>305</v>
      </c>
      <c r="N130" s="3">
        <f>Taulukko15[[#This Row],[Seurapisteet]]-MIN(L130,I130,F130,D130)</f>
        <v>260</v>
      </c>
      <c r="O130" s="3">
        <v>1</v>
      </c>
    </row>
    <row r="131" spans="1:15" x14ac:dyDescent="0.35">
      <c r="A131" t="s">
        <v>142</v>
      </c>
      <c r="B131" t="s">
        <v>51</v>
      </c>
      <c r="C131" s="3" t="s">
        <v>14</v>
      </c>
      <c r="D131" s="3">
        <v>80</v>
      </c>
      <c r="E131" s="3" t="s">
        <v>15</v>
      </c>
      <c r="F131" s="3">
        <v>60</v>
      </c>
      <c r="G131" t="s">
        <v>142</v>
      </c>
      <c r="H131" s="3">
        <v>2</v>
      </c>
      <c r="I131" s="3">
        <v>80</v>
      </c>
      <c r="J131" s="3" t="str">
        <f>Taulukko15[[#This Row],[Nimi]]</f>
        <v xml:space="preserve">	Neea Murto</v>
      </c>
      <c r="K131" s="3">
        <v>1</v>
      </c>
      <c r="L131" s="3">
        <v>100</v>
      </c>
      <c r="M131" s="3">
        <f>Taulukko15[[#This Row],[Pisteet]]+Taulukko15[[#This Row],[Pisteet2]]+Taulukko15[[#This Row],[pisteet3]]+Taulukko15[[#This Row],[pisteet4]]</f>
        <v>320</v>
      </c>
      <c r="N131" s="3">
        <f>Taulukko15[[#This Row],[Seurapisteet]]-MIN(L131,I131,F131,D131)</f>
        <v>260</v>
      </c>
      <c r="O131" s="3">
        <v>2</v>
      </c>
    </row>
    <row r="132" spans="1:15" x14ac:dyDescent="0.35">
      <c r="A132" t="s">
        <v>143</v>
      </c>
      <c r="B132" t="s">
        <v>94</v>
      </c>
      <c r="C132" s="3" t="s">
        <v>15</v>
      </c>
      <c r="D132" s="3">
        <v>60</v>
      </c>
      <c r="E132" s="3" t="s">
        <v>14</v>
      </c>
      <c r="F132" s="3">
        <v>80</v>
      </c>
      <c r="G132" t="s">
        <v>143</v>
      </c>
      <c r="H132" s="3">
        <v>1</v>
      </c>
      <c r="I132" s="3">
        <v>100</v>
      </c>
      <c r="J132" s="3" t="str">
        <f>Taulukko15[[#This Row],[Nimi]]</f>
        <v xml:space="preserve">	Siru Koskela</v>
      </c>
      <c r="K132" s="3">
        <v>4</v>
      </c>
      <c r="L132" s="3">
        <v>50</v>
      </c>
      <c r="M132" s="3">
        <f>Taulukko15[[#This Row],[Pisteet]]+Taulukko15[[#This Row],[Pisteet2]]+Taulukko15[[#This Row],[pisteet3]]+Taulukko15[[#This Row],[pisteet4]]</f>
        <v>290</v>
      </c>
      <c r="N132" s="3">
        <f>Taulukko15[[#This Row],[Seurapisteet]]-MIN(L132,I132,F132,D132)</f>
        <v>240</v>
      </c>
      <c r="O132" s="3">
        <v>3</v>
      </c>
    </row>
    <row r="133" spans="1:15" x14ac:dyDescent="0.35">
      <c r="A133" t="s">
        <v>145</v>
      </c>
      <c r="B133" t="s">
        <v>86</v>
      </c>
      <c r="C133" s="3" t="s">
        <v>17</v>
      </c>
      <c r="D133" s="3">
        <v>45</v>
      </c>
      <c r="E133" s="3" t="s">
        <v>17</v>
      </c>
      <c r="F133" s="3">
        <v>45</v>
      </c>
      <c r="G133" t="s">
        <v>145</v>
      </c>
      <c r="H133" s="3">
        <v>3</v>
      </c>
      <c r="I133" s="3">
        <v>60</v>
      </c>
      <c r="J133" s="3" t="str">
        <f>Taulukko15[[#This Row],[Nimi]]</f>
        <v>Ronja Aarnio</v>
      </c>
      <c r="K133" s="3">
        <v>2</v>
      </c>
      <c r="L133" s="3">
        <v>80</v>
      </c>
      <c r="M133" s="3">
        <f>Taulukko15[[#This Row],[Pisteet]]+Taulukko15[[#This Row],[Pisteet2]]+Taulukko15[[#This Row],[pisteet3]]+Taulukko15[[#This Row],[pisteet4]]</f>
        <v>230</v>
      </c>
      <c r="N133" s="3">
        <f>Taulukko15[[#This Row],[Seurapisteet]]-MIN(L133,I133,F133,D133)</f>
        <v>185</v>
      </c>
      <c r="O133" s="3">
        <v>4</v>
      </c>
    </row>
    <row r="134" spans="1:15" x14ac:dyDescent="0.35">
      <c r="A134" t="s">
        <v>144</v>
      </c>
      <c r="B134" t="s">
        <v>123</v>
      </c>
      <c r="C134" s="3" t="s">
        <v>16</v>
      </c>
      <c r="D134" s="3">
        <v>50</v>
      </c>
      <c r="E134" s="3" t="s">
        <v>16</v>
      </c>
      <c r="F134" s="3">
        <v>50</v>
      </c>
      <c r="G134" t="s">
        <v>144</v>
      </c>
      <c r="H134" s="3">
        <v>4</v>
      </c>
      <c r="I134" s="3">
        <v>50</v>
      </c>
      <c r="J134" s="3" t="str">
        <f>Taulukko15[[#This Row],[Nimi]]</f>
        <v>Ella Pesola</v>
      </c>
      <c r="L134" s="3">
        <v>0</v>
      </c>
      <c r="M134" s="3">
        <f>Taulukko15[[#This Row],[Pisteet]]+Taulukko15[[#This Row],[Pisteet2]]+Taulukko15[[#This Row],[pisteet3]]+Taulukko15[[#This Row],[pisteet4]]</f>
        <v>150</v>
      </c>
      <c r="N134" s="3">
        <f>Taulukko15[[#This Row],[Seurapisteet]]-MIN(L134,I134,F134,D134)</f>
        <v>150</v>
      </c>
      <c r="O134" s="3">
        <v>5</v>
      </c>
    </row>
    <row r="135" spans="1:15" x14ac:dyDescent="0.35">
      <c r="A135" t="s">
        <v>146</v>
      </c>
      <c r="B135" t="s">
        <v>8</v>
      </c>
      <c r="D135" s="3">
        <v>0</v>
      </c>
      <c r="E135" s="3" t="s">
        <v>18</v>
      </c>
      <c r="F135" s="3">
        <v>40</v>
      </c>
      <c r="G135" t="s">
        <v>146</v>
      </c>
      <c r="I135" s="3">
        <v>0</v>
      </c>
      <c r="J135" s="3" t="str">
        <f>Taulukko15[[#This Row],[Nimi]]</f>
        <v>Aada Junnikkala</v>
      </c>
      <c r="L135" s="3">
        <v>0</v>
      </c>
      <c r="M135" s="3">
        <f>Taulukko15[[#This Row],[Pisteet]]+Taulukko15[[#This Row],[Pisteet2]]+Taulukko15[[#This Row],[pisteet3]]+Taulukko15[[#This Row],[pisteet4]]</f>
        <v>40</v>
      </c>
      <c r="N135" s="3">
        <f>Taulukko15[[#This Row],[Seurapisteet]]-MIN(L135,I135,F135,D135)</f>
        <v>40</v>
      </c>
      <c r="O135" s="3">
        <v>6</v>
      </c>
    </row>
    <row r="136" spans="1:15" x14ac:dyDescent="0.35">
      <c r="M136" s="4"/>
    </row>
    <row r="137" spans="1:15" x14ac:dyDescent="0.35">
      <c r="M137" s="4"/>
    </row>
    <row r="138" spans="1:15" x14ac:dyDescent="0.35">
      <c r="M138" s="4"/>
    </row>
    <row r="139" spans="1:15" x14ac:dyDescent="0.35">
      <c r="B139" t="s">
        <v>147</v>
      </c>
      <c r="M139" s="4"/>
    </row>
    <row r="140" spans="1:15" x14ac:dyDescent="0.35">
      <c r="C140" s="3" t="s">
        <v>44</v>
      </c>
      <c r="E140" s="3" t="s">
        <v>43</v>
      </c>
      <c r="H140" s="3" t="s">
        <v>172</v>
      </c>
      <c r="K140" s="10" t="s">
        <v>181</v>
      </c>
      <c r="L140" s="10"/>
      <c r="M140" s="10" t="s">
        <v>186</v>
      </c>
    </row>
    <row r="141" spans="1:15" x14ac:dyDescent="0.35">
      <c r="A141" t="s">
        <v>1</v>
      </c>
      <c r="B141" t="s">
        <v>2</v>
      </c>
      <c r="C141" s="3" t="s">
        <v>3</v>
      </c>
      <c r="D141" s="3" t="s">
        <v>0</v>
      </c>
      <c r="E141" s="3" t="s">
        <v>58</v>
      </c>
      <c r="F141" s="3" t="s">
        <v>62</v>
      </c>
      <c r="G141" t="s">
        <v>101</v>
      </c>
      <c r="H141" s="3" t="s">
        <v>173</v>
      </c>
      <c r="I141" s="3" t="s">
        <v>175</v>
      </c>
      <c r="J141" s="10" t="s">
        <v>78</v>
      </c>
      <c r="K141" s="10" t="s">
        <v>183</v>
      </c>
      <c r="L141" s="10" t="s">
        <v>184</v>
      </c>
      <c r="M141" s="10" t="s">
        <v>187</v>
      </c>
      <c r="N141" s="10" t="s">
        <v>188</v>
      </c>
      <c r="O141" s="10" t="s">
        <v>185</v>
      </c>
    </row>
    <row r="142" spans="1:15" x14ac:dyDescent="0.35">
      <c r="A142" t="s">
        <v>148</v>
      </c>
      <c r="B142" t="s">
        <v>112</v>
      </c>
      <c r="C142" s="3" t="s">
        <v>13</v>
      </c>
      <c r="D142" s="3">
        <v>100</v>
      </c>
      <c r="E142" s="3" t="s">
        <v>13</v>
      </c>
      <c r="F142" s="3">
        <v>100</v>
      </c>
      <c r="G142" t="s">
        <v>148</v>
      </c>
      <c r="H142" s="3">
        <v>2</v>
      </c>
      <c r="I142" s="3">
        <v>80</v>
      </c>
      <c r="J142" s="3" t="str">
        <f>Taulukko16[[#This Row],[Nimi]]</f>
        <v>Ukko Järviluoma</v>
      </c>
      <c r="K142" s="3">
        <v>1</v>
      </c>
      <c r="L142" s="3">
        <v>100</v>
      </c>
      <c r="M142" s="3">
        <f>Taulukko16[[#This Row],[Pisteet]]+Taulukko16[[#This Row],[Pisteet2]]+Taulukko16[[#This Row],[pisteet3]]+Taulukko16[[#This Row],[pisteet4]]</f>
        <v>380</v>
      </c>
      <c r="N142" s="3">
        <f>Taulukko16[[#This Row],[Seurapisteet]]-MIN(L142,I142,F142,D142)</f>
        <v>300</v>
      </c>
      <c r="O142" s="3">
        <v>1</v>
      </c>
    </row>
    <row r="143" spans="1:15" x14ac:dyDescent="0.35">
      <c r="A143" t="s">
        <v>149</v>
      </c>
      <c r="B143" t="s">
        <v>117</v>
      </c>
      <c r="C143" s="3" t="s">
        <v>14</v>
      </c>
      <c r="D143" s="3">
        <v>80</v>
      </c>
      <c r="E143" s="3" t="s">
        <v>14</v>
      </c>
      <c r="F143" s="3">
        <v>80</v>
      </c>
      <c r="G143" t="s">
        <v>149</v>
      </c>
      <c r="I143" s="3">
        <v>0</v>
      </c>
      <c r="J143" s="3" t="str">
        <f>Taulukko16[[#This Row],[Nimi]]</f>
        <v>Paavo Kokkoniemi</v>
      </c>
      <c r="K143" s="3">
        <v>2</v>
      </c>
      <c r="L143" s="3">
        <v>80</v>
      </c>
      <c r="M143" s="3">
        <f>Taulukko16[[#This Row],[Pisteet]]+Taulukko16[[#This Row],[Pisteet2]]+Taulukko16[[#This Row],[pisteet3]]+Taulukko16[[#This Row],[pisteet4]]</f>
        <v>240</v>
      </c>
      <c r="N143" s="3">
        <f>Taulukko16[[#This Row],[Seurapisteet]]-MIN(L143,I143,F143,D143)</f>
        <v>240</v>
      </c>
      <c r="O143" s="3">
        <v>2</v>
      </c>
    </row>
    <row r="144" spans="1:15" x14ac:dyDescent="0.35">
      <c r="A144" t="s">
        <v>150</v>
      </c>
      <c r="B144" t="s">
        <v>151</v>
      </c>
      <c r="C144" s="3" t="s">
        <v>15</v>
      </c>
      <c r="D144" s="3">
        <v>60</v>
      </c>
      <c r="E144" s="3" t="s">
        <v>16</v>
      </c>
      <c r="F144" s="3">
        <v>50</v>
      </c>
      <c r="G144" t="s">
        <v>150</v>
      </c>
      <c r="H144" s="3">
        <v>1</v>
      </c>
      <c r="I144" s="3">
        <v>100</v>
      </c>
      <c r="J144" s="3" t="str">
        <f>Taulukko16[[#This Row],[Nimi]]</f>
        <v>Toni Jääskeläinen</v>
      </c>
      <c r="K144" s="3">
        <v>3</v>
      </c>
      <c r="L144" s="3">
        <v>60</v>
      </c>
      <c r="M144" s="3">
        <f>Taulukko16[[#This Row],[Pisteet]]+Taulukko16[[#This Row],[Pisteet2]]+Taulukko16[[#This Row],[pisteet3]]+Taulukko16[[#This Row],[pisteet4]]</f>
        <v>270</v>
      </c>
      <c r="N144" s="3">
        <f>Taulukko16[[#This Row],[Seurapisteet]]-MIN(L144,I144,F144,D144)</f>
        <v>220</v>
      </c>
      <c r="O144" s="3">
        <v>3</v>
      </c>
    </row>
    <row r="145" spans="1:15" x14ac:dyDescent="0.35">
      <c r="A145" t="s">
        <v>154</v>
      </c>
      <c r="B145" t="s">
        <v>64</v>
      </c>
      <c r="C145" s="3" t="s">
        <v>18</v>
      </c>
      <c r="D145" s="3">
        <v>40</v>
      </c>
      <c r="E145" s="3" t="s">
        <v>19</v>
      </c>
      <c r="F145" s="3">
        <v>36</v>
      </c>
      <c r="G145" t="s">
        <v>154</v>
      </c>
      <c r="H145" s="3">
        <v>3</v>
      </c>
      <c r="I145" s="3">
        <v>60</v>
      </c>
      <c r="J145" s="3" t="str">
        <f>Taulukko16[[#This Row],[Nimi]]</f>
        <v>Roni Saarela</v>
      </c>
      <c r="L145" s="3">
        <v>0</v>
      </c>
      <c r="M145" s="3">
        <f>Taulukko16[[#This Row],[Pisteet]]+Taulukko16[[#This Row],[Pisteet2]]+Taulukko16[[#This Row],[pisteet3]]+Taulukko16[[#This Row],[pisteet4]]</f>
        <v>136</v>
      </c>
      <c r="N145" s="3">
        <f>Taulukko16[[#This Row],[Seurapisteet]]-MIN(L145,I145,F145,D145)</f>
        <v>136</v>
      </c>
      <c r="O145" s="3">
        <v>4</v>
      </c>
    </row>
    <row r="146" spans="1:15" x14ac:dyDescent="0.35">
      <c r="A146" t="s">
        <v>152</v>
      </c>
      <c r="B146" t="s">
        <v>5</v>
      </c>
      <c r="C146" s="3" t="s">
        <v>16</v>
      </c>
      <c r="D146" s="3">
        <v>50</v>
      </c>
      <c r="E146" s="3" t="s">
        <v>17</v>
      </c>
      <c r="F146" s="3">
        <v>45</v>
      </c>
      <c r="G146" t="s">
        <v>152</v>
      </c>
      <c r="I146" s="3">
        <v>0</v>
      </c>
      <c r="J146" s="3" t="str">
        <f>Taulukko16[[#This Row],[Nimi]]</f>
        <v>Jaakko Vuotila</v>
      </c>
      <c r="L146" s="3">
        <v>0</v>
      </c>
      <c r="M146" s="3">
        <f>Taulukko16[[#This Row],[Pisteet]]+Taulukko16[[#This Row],[Pisteet2]]+Taulukko16[[#This Row],[pisteet3]]+Taulukko16[[#This Row],[pisteet4]]</f>
        <v>95</v>
      </c>
      <c r="N146" s="3">
        <f>Taulukko16[[#This Row],[Seurapisteet]]-MIN(L146,I146,F146,D146)</f>
        <v>95</v>
      </c>
      <c r="O146" s="3">
        <v>5</v>
      </c>
    </row>
    <row r="147" spans="1:15" x14ac:dyDescent="0.35">
      <c r="A147" t="s">
        <v>153</v>
      </c>
      <c r="B147" t="s">
        <v>11</v>
      </c>
      <c r="C147" s="3" t="s">
        <v>17</v>
      </c>
      <c r="D147" s="3">
        <v>45</v>
      </c>
      <c r="E147" s="3" t="s">
        <v>18</v>
      </c>
      <c r="F147" s="3">
        <v>40</v>
      </c>
      <c r="G147" t="s">
        <v>153</v>
      </c>
      <c r="I147" s="3">
        <v>0</v>
      </c>
      <c r="J147" s="3" t="str">
        <f>Taulukko16[[#This Row],[Nimi]]</f>
        <v>Leo Rautio</v>
      </c>
      <c r="L147" s="3">
        <v>0</v>
      </c>
      <c r="M147" s="3">
        <f>Taulukko16[[#This Row],[Pisteet]]+Taulukko16[[#This Row],[Pisteet2]]+Taulukko16[[#This Row],[pisteet3]]+Taulukko16[[#This Row],[pisteet4]]</f>
        <v>85</v>
      </c>
      <c r="N147" s="3">
        <f>Taulukko16[[#This Row],[Seurapisteet]]-MIN(L147,I147,F147,D147)</f>
        <v>85</v>
      </c>
      <c r="O147" s="3">
        <v>6</v>
      </c>
    </row>
    <row r="148" spans="1:15" x14ac:dyDescent="0.35">
      <c r="A148" t="s">
        <v>155</v>
      </c>
      <c r="B148" t="s">
        <v>156</v>
      </c>
      <c r="D148" s="3">
        <v>0</v>
      </c>
      <c r="E148" s="3" t="s">
        <v>15</v>
      </c>
      <c r="F148" s="3">
        <v>60</v>
      </c>
      <c r="G148" t="s">
        <v>155</v>
      </c>
      <c r="I148" s="3">
        <v>0</v>
      </c>
      <c r="J148" s="3" t="str">
        <f>Taulukko16[[#This Row],[Nimi]]</f>
        <v>Albert Viljamaa</v>
      </c>
      <c r="L148" s="3">
        <v>0</v>
      </c>
      <c r="M148" s="3">
        <f>Taulukko16[[#This Row],[Pisteet]]+Taulukko16[[#This Row],[Pisteet2]]+Taulukko16[[#This Row],[pisteet3]]+Taulukko16[[#This Row],[pisteet4]]</f>
        <v>60</v>
      </c>
      <c r="N148" s="3">
        <f>Taulukko16[[#This Row],[Seurapisteet]]-MIN(L148,I148,F148,D148)</f>
        <v>60</v>
      </c>
      <c r="O148" s="3">
        <v>7</v>
      </c>
    </row>
    <row r="149" spans="1:15" x14ac:dyDescent="0.35">
      <c r="M149" s="4"/>
    </row>
    <row r="150" spans="1:15" x14ac:dyDescent="0.35">
      <c r="M150" s="4"/>
    </row>
    <row r="151" spans="1:15" x14ac:dyDescent="0.35">
      <c r="K151" s="10"/>
      <c r="L151" s="10"/>
      <c r="M151" s="10"/>
      <c r="N151" s="10"/>
      <c r="O151" s="10"/>
    </row>
    <row r="152" spans="1:15" x14ac:dyDescent="0.35">
      <c r="B152" t="s">
        <v>157</v>
      </c>
      <c r="M152" s="4"/>
    </row>
    <row r="153" spans="1:15" x14ac:dyDescent="0.35">
      <c r="C153" s="3" t="s">
        <v>44</v>
      </c>
      <c r="E153" s="3" t="s">
        <v>43</v>
      </c>
      <c r="H153" s="3" t="s">
        <v>172</v>
      </c>
      <c r="K153" s="10" t="s">
        <v>181</v>
      </c>
      <c r="L153" s="10"/>
      <c r="M153" s="10" t="s">
        <v>186</v>
      </c>
    </row>
    <row r="154" spans="1:15" x14ac:dyDescent="0.35">
      <c r="A154" t="s">
        <v>1</v>
      </c>
      <c r="B154" t="s">
        <v>2</v>
      </c>
      <c r="C154" s="3" t="s">
        <v>3</v>
      </c>
      <c r="D154" s="3" t="s">
        <v>0</v>
      </c>
      <c r="E154" s="3" t="s">
        <v>58</v>
      </c>
      <c r="F154" s="3" t="s">
        <v>62</v>
      </c>
      <c r="G154" t="s">
        <v>101</v>
      </c>
      <c r="H154" s="3" t="s">
        <v>173</v>
      </c>
      <c r="I154" s="3" t="s">
        <v>175</v>
      </c>
      <c r="J154" s="10" t="s">
        <v>78</v>
      </c>
      <c r="K154" s="10" t="s">
        <v>183</v>
      </c>
      <c r="L154" s="10" t="s">
        <v>184</v>
      </c>
      <c r="M154" s="10" t="s">
        <v>187</v>
      </c>
      <c r="N154" s="10" t="s">
        <v>188</v>
      </c>
      <c r="O154" s="10" t="s">
        <v>185</v>
      </c>
    </row>
    <row r="155" spans="1:15" x14ac:dyDescent="0.35">
      <c r="A155" t="s">
        <v>158</v>
      </c>
      <c r="B155" t="s">
        <v>51</v>
      </c>
      <c r="C155" s="3" t="s">
        <v>13</v>
      </c>
      <c r="D155" s="3">
        <v>100</v>
      </c>
      <c r="E155" s="3" t="s">
        <v>13</v>
      </c>
      <c r="F155" s="3">
        <v>100</v>
      </c>
      <c r="G155" t="s">
        <v>158</v>
      </c>
      <c r="I155" s="3">
        <v>0</v>
      </c>
      <c r="J155" s="3" t="str">
        <f>Taulukko17[[#This Row],[Nimi]]</f>
        <v>Emma Parkkila</v>
      </c>
      <c r="K155" s="3">
        <v>2</v>
      </c>
      <c r="L155" s="3">
        <v>80</v>
      </c>
      <c r="M155" s="3">
        <f>Taulukko17[[#This Row],[Pisteet]]+Taulukko17[[#This Row],[Pisteet2]]+Taulukko17[[#This Row],[pisteet3]]+Taulukko17[[#This Row],[pisteet4]]</f>
        <v>280</v>
      </c>
      <c r="N155" s="3">
        <f>Taulukko17[[#This Row],[Seurapisteet]]-MIN(L155,I155,F155,D155)</f>
        <v>280</v>
      </c>
      <c r="O155" s="3">
        <v>1</v>
      </c>
    </row>
    <row r="156" spans="1:15" x14ac:dyDescent="0.35">
      <c r="A156" t="s">
        <v>159</v>
      </c>
      <c r="B156" t="s">
        <v>94</v>
      </c>
      <c r="C156" s="3" t="s">
        <v>14</v>
      </c>
      <c r="D156" s="3">
        <v>80</v>
      </c>
      <c r="E156" s="3" t="s">
        <v>15</v>
      </c>
      <c r="F156" s="3">
        <v>60</v>
      </c>
      <c r="G156" t="s">
        <v>159</v>
      </c>
      <c r="H156" s="3">
        <v>2</v>
      </c>
      <c r="I156" s="3">
        <v>80</v>
      </c>
      <c r="J156" s="3" t="str">
        <f>Taulukko17[[#This Row],[Nimi]]</f>
        <v>Mette Kanala</v>
      </c>
      <c r="K156" s="3">
        <v>3</v>
      </c>
      <c r="L156" s="3">
        <v>60</v>
      </c>
      <c r="M156" s="3">
        <f>Taulukko17[[#This Row],[Pisteet]]+Taulukko17[[#This Row],[Pisteet2]]+Taulukko17[[#This Row],[pisteet3]]+Taulukko17[[#This Row],[pisteet4]]</f>
        <v>280</v>
      </c>
      <c r="N156" s="3">
        <f>Taulukko17[[#This Row],[Seurapisteet]]-MIN(L156,I156,F156,D156)</f>
        <v>220</v>
      </c>
      <c r="O156" s="3">
        <v>2</v>
      </c>
    </row>
    <row r="157" spans="1:15" x14ac:dyDescent="0.35">
      <c r="A157" t="s">
        <v>160</v>
      </c>
      <c r="B157" t="s">
        <v>123</v>
      </c>
      <c r="C157" s="3" t="s">
        <v>15</v>
      </c>
      <c r="D157" s="3">
        <v>60</v>
      </c>
      <c r="E157" s="3" t="s">
        <v>14</v>
      </c>
      <c r="F157" s="3">
        <v>80</v>
      </c>
      <c r="G157" t="s">
        <v>160</v>
      </c>
      <c r="H157" s="3">
        <v>3</v>
      </c>
      <c r="I157" s="3">
        <v>60</v>
      </c>
      <c r="J157" s="3" t="str">
        <f>Taulukko17[[#This Row],[Nimi]]</f>
        <v>Iida Paavola</v>
      </c>
      <c r="L157" s="3">
        <v>0</v>
      </c>
      <c r="M157" s="3">
        <f>Taulukko17[[#This Row],[Pisteet]]+Taulukko17[[#This Row],[Pisteet2]]+Taulukko17[[#This Row],[pisteet3]]+Taulukko17[[#This Row],[pisteet4]]</f>
        <v>200</v>
      </c>
      <c r="N157" s="3">
        <f>Taulukko17[[#This Row],[Seurapisteet]]-MIN(L157,I157,F157,D157)</f>
        <v>200</v>
      </c>
      <c r="O157" s="3">
        <v>3</v>
      </c>
    </row>
    <row r="158" spans="1:15" x14ac:dyDescent="0.35">
      <c r="A158" t="s">
        <v>179</v>
      </c>
      <c r="B158" t="s">
        <v>123</v>
      </c>
      <c r="D158" s="3">
        <v>0</v>
      </c>
      <c r="F158" s="3">
        <v>0</v>
      </c>
      <c r="G158" t="s">
        <v>179</v>
      </c>
      <c r="H158" s="3">
        <v>1</v>
      </c>
      <c r="I158" s="3">
        <v>100</v>
      </c>
      <c r="J158" s="3" t="str">
        <f>Taulukko17[[#This Row],[Nimi]]</f>
        <v>Liina-Maija Hietala</v>
      </c>
      <c r="K158" s="3">
        <v>1</v>
      </c>
      <c r="L158" s="3">
        <v>100</v>
      </c>
      <c r="M158" s="3">
        <f>Taulukko17[[#This Row],[Pisteet]]+Taulukko17[[#This Row],[Pisteet2]]+Taulukko17[[#This Row],[pisteet3]]+Taulukko17[[#This Row],[pisteet4]]</f>
        <v>200</v>
      </c>
      <c r="N158" s="3">
        <f>Taulukko17[[#This Row],[Seurapisteet]]-MIN(L158,I158,F158,D158)</f>
        <v>200</v>
      </c>
      <c r="O158" s="3">
        <v>4</v>
      </c>
    </row>
    <row r="159" spans="1:15" x14ac:dyDescent="0.35">
      <c r="A159" t="s">
        <v>161</v>
      </c>
      <c r="B159" t="s">
        <v>100</v>
      </c>
      <c r="C159" s="3" t="s">
        <v>16</v>
      </c>
      <c r="D159" s="3">
        <v>50</v>
      </c>
      <c r="E159" s="3" t="s">
        <v>17</v>
      </c>
      <c r="F159" s="3">
        <v>45</v>
      </c>
      <c r="G159" t="s">
        <v>161</v>
      </c>
      <c r="I159" s="3">
        <v>0</v>
      </c>
      <c r="J159" s="3" t="str">
        <f>Taulukko17[[#This Row],[Nimi]]</f>
        <v>Senni Moilanen</v>
      </c>
      <c r="K159" s="3">
        <v>5</v>
      </c>
      <c r="L159" s="3">
        <v>45</v>
      </c>
      <c r="M159" s="3">
        <f>Taulukko17[[#This Row],[Pisteet]]+Taulukko17[[#This Row],[Pisteet2]]+Taulukko17[[#This Row],[pisteet3]]+Taulukko17[[#This Row],[pisteet4]]</f>
        <v>140</v>
      </c>
      <c r="N159" s="3">
        <f>Taulukko17[[#This Row],[Seurapisteet]]-MIN(L159,I159,F159,D159)</f>
        <v>140</v>
      </c>
      <c r="O159" s="3">
        <v>5</v>
      </c>
    </row>
    <row r="160" spans="1:15" x14ac:dyDescent="0.35">
      <c r="A160" t="s">
        <v>162</v>
      </c>
      <c r="B160" t="s">
        <v>11</v>
      </c>
      <c r="D160" s="3">
        <v>0</v>
      </c>
      <c r="E160" s="3" t="s">
        <v>16</v>
      </c>
      <c r="F160" s="3">
        <v>50</v>
      </c>
      <c r="G160" t="s">
        <v>162</v>
      </c>
      <c r="I160" s="3">
        <v>0</v>
      </c>
      <c r="J160" s="3" t="str">
        <f>Taulukko17[[#This Row],[Nimi]]</f>
        <v>Siiri Paloranta</v>
      </c>
      <c r="K160" s="3">
        <v>4</v>
      </c>
      <c r="L160" s="3">
        <v>50</v>
      </c>
      <c r="M160" s="3">
        <f>Taulukko17[[#This Row],[Pisteet]]+Taulukko17[[#This Row],[Pisteet2]]+Taulukko17[[#This Row],[pisteet3]]+Taulukko17[[#This Row],[pisteet4]]</f>
        <v>100</v>
      </c>
      <c r="N160" s="3">
        <f>Taulukko17[[#This Row],[Seurapisteet]]-MIN(L160,I160,F160,D160)</f>
        <v>100</v>
      </c>
      <c r="O160" s="3">
        <v>6</v>
      </c>
    </row>
    <row r="161" spans="1:15" x14ac:dyDescent="0.35">
      <c r="A161" t="s">
        <v>180</v>
      </c>
      <c r="B161" t="s">
        <v>64</v>
      </c>
      <c r="D161" s="3">
        <v>0</v>
      </c>
      <c r="F161" s="3">
        <v>0</v>
      </c>
      <c r="G161" t="s">
        <v>180</v>
      </c>
      <c r="H161" s="3">
        <v>4</v>
      </c>
      <c r="I161" s="3">
        <v>50</v>
      </c>
      <c r="J161" s="3" t="str">
        <f>Taulukko17[[#This Row],[Nimi]]</f>
        <v>Lyyli Niinikoski</v>
      </c>
      <c r="K161" s="4"/>
      <c r="L161" s="3">
        <v>0</v>
      </c>
      <c r="M161" s="3">
        <f>Taulukko17[[#This Row],[Pisteet]]+Taulukko17[[#This Row],[Pisteet2]]+Taulukko17[[#This Row],[pisteet3]]+Taulukko17[[#This Row],[pisteet4]]</f>
        <v>50</v>
      </c>
      <c r="N161" s="3">
        <f>Taulukko17[[#This Row],[Seurapisteet]]-MIN(L161,I161,F161,D161)</f>
        <v>50</v>
      </c>
      <c r="O161" s="3">
        <v>7</v>
      </c>
    </row>
    <row r="162" spans="1:15" x14ac:dyDescent="0.35">
      <c r="M162" s="4"/>
    </row>
    <row r="163" spans="1:15" x14ac:dyDescent="0.35">
      <c r="B163" t="s">
        <v>163</v>
      </c>
      <c r="M163" s="4"/>
    </row>
    <row r="164" spans="1:15" x14ac:dyDescent="0.35">
      <c r="C164" s="3" t="s">
        <v>44</v>
      </c>
      <c r="E164" s="3" t="s">
        <v>43</v>
      </c>
      <c r="H164" s="3" t="s">
        <v>172</v>
      </c>
      <c r="K164" s="10" t="s">
        <v>181</v>
      </c>
      <c r="L164" s="10"/>
      <c r="M164" s="10" t="s">
        <v>186</v>
      </c>
    </row>
    <row r="165" spans="1:15" x14ac:dyDescent="0.35">
      <c r="A165" t="s">
        <v>1</v>
      </c>
      <c r="B165" t="s">
        <v>2</v>
      </c>
      <c r="C165" s="3" t="s">
        <v>3</v>
      </c>
      <c r="D165" s="3" t="s">
        <v>0</v>
      </c>
      <c r="E165" s="3" t="s">
        <v>58</v>
      </c>
      <c r="F165" s="3" t="s">
        <v>62</v>
      </c>
      <c r="G165" t="s">
        <v>101</v>
      </c>
      <c r="H165" s="3" t="s">
        <v>173</v>
      </c>
      <c r="I165" s="3" t="s">
        <v>175</v>
      </c>
      <c r="J165" s="10" t="s">
        <v>78</v>
      </c>
      <c r="K165" s="10" t="s">
        <v>183</v>
      </c>
      <c r="L165" s="10" t="s">
        <v>184</v>
      </c>
      <c r="M165" s="10" t="s">
        <v>187</v>
      </c>
      <c r="N165" s="10" t="s">
        <v>188</v>
      </c>
      <c r="O165" s="10" t="s">
        <v>185</v>
      </c>
    </row>
    <row r="166" spans="1:15" x14ac:dyDescent="0.35">
      <c r="A166" t="s">
        <v>164</v>
      </c>
      <c r="B166" t="s">
        <v>100</v>
      </c>
      <c r="C166" s="3" t="s">
        <v>13</v>
      </c>
      <c r="D166" s="3">
        <v>100</v>
      </c>
      <c r="E166" s="3" t="s">
        <v>13</v>
      </c>
      <c r="F166" s="3">
        <v>100</v>
      </c>
      <c r="G166" t="s">
        <v>164</v>
      </c>
      <c r="H166" s="3">
        <v>1</v>
      </c>
      <c r="I166" s="3">
        <v>100</v>
      </c>
      <c r="J166" s="3" t="s">
        <v>164</v>
      </c>
      <c r="K166" s="3">
        <v>1</v>
      </c>
      <c r="L166" s="3">
        <v>100</v>
      </c>
      <c r="M166" s="3">
        <f>Taulukko18[[#This Row],[pisteet4]]+Taulukko18[[#This Row],[pisteet3]]+Taulukko18[[#This Row],[Pisteet2]]+Taulukko18[[#This Row],[Pisteet]]</f>
        <v>400</v>
      </c>
      <c r="N166" s="3">
        <f>Taulukko18[[#This Row],[Seurapisteet]]-MIN(L166,I166,F166,D166)</f>
        <v>300</v>
      </c>
      <c r="O166" s="3">
        <v>1</v>
      </c>
    </row>
    <row r="167" spans="1:15" x14ac:dyDescent="0.35">
      <c r="M167" s="4"/>
    </row>
    <row r="168" spans="1:15" x14ac:dyDescent="0.35">
      <c r="M168" s="4"/>
    </row>
    <row r="169" spans="1:15" x14ac:dyDescent="0.35">
      <c r="M169" s="4"/>
    </row>
    <row r="170" spans="1:15" x14ac:dyDescent="0.35">
      <c r="B170" t="s">
        <v>165</v>
      </c>
      <c r="M170" s="4"/>
    </row>
    <row r="171" spans="1:15" x14ac:dyDescent="0.35">
      <c r="C171" s="3" t="s">
        <v>44</v>
      </c>
      <c r="E171" s="3" t="s">
        <v>43</v>
      </c>
      <c r="H171" s="3" t="s">
        <v>172</v>
      </c>
      <c r="K171" s="10" t="s">
        <v>181</v>
      </c>
      <c r="L171" s="10"/>
      <c r="M171" s="10" t="s">
        <v>186</v>
      </c>
    </row>
    <row r="172" spans="1:15" x14ac:dyDescent="0.35">
      <c r="A172" t="s">
        <v>1</v>
      </c>
      <c r="B172" t="s">
        <v>2</v>
      </c>
      <c r="C172" s="3" t="s">
        <v>3</v>
      </c>
      <c r="D172" s="3" t="s">
        <v>0</v>
      </c>
      <c r="E172" s="3" t="s">
        <v>58</v>
      </c>
      <c r="F172" s="3" t="s">
        <v>62</v>
      </c>
      <c r="G172" t="s">
        <v>101</v>
      </c>
      <c r="H172" s="3" t="s">
        <v>173</v>
      </c>
      <c r="I172" s="3" t="s">
        <v>175</v>
      </c>
      <c r="J172" s="10" t="s">
        <v>78</v>
      </c>
      <c r="K172" s="10" t="s">
        <v>183</v>
      </c>
      <c r="L172" s="10" t="s">
        <v>184</v>
      </c>
      <c r="M172" s="10" t="s">
        <v>187</v>
      </c>
      <c r="N172" s="10" t="s">
        <v>188</v>
      </c>
      <c r="O172" s="10" t="s">
        <v>185</v>
      </c>
    </row>
    <row r="173" spans="1:15" x14ac:dyDescent="0.35">
      <c r="A173" t="s">
        <v>166</v>
      </c>
      <c r="B173" t="s">
        <v>11</v>
      </c>
      <c r="C173" s="3" t="s">
        <v>13</v>
      </c>
      <c r="D173" s="3">
        <v>100</v>
      </c>
      <c r="E173" s="3" t="s">
        <v>13</v>
      </c>
      <c r="F173" s="3">
        <v>100</v>
      </c>
      <c r="G173" t="s">
        <v>166</v>
      </c>
      <c r="H173" s="3">
        <v>1</v>
      </c>
      <c r="I173" s="3">
        <v>100</v>
      </c>
      <c r="J173" s="3" t="str">
        <f>Taulukko19[[#This Row],[Nimi]]</f>
        <v>Laura Aho</v>
      </c>
      <c r="K173" s="3">
        <v>1</v>
      </c>
      <c r="L173" s="3">
        <v>100</v>
      </c>
      <c r="M173" s="3">
        <f>Taulukko19[[#This Row],[pisteet4]]+Taulukko19[[#This Row],[pisteet3]]+Taulukko19[[#This Row],[Pisteet2]]+Taulukko19[[#This Row],[Pisteet]]</f>
        <v>400</v>
      </c>
      <c r="N173" s="3">
        <f>Taulukko19[[#This Row],[Seurapisteet]]-MIN(L173,I173,F173,D173)</f>
        <v>300</v>
      </c>
      <c r="O173" s="3">
        <v>1</v>
      </c>
    </row>
    <row r="174" spans="1:15" x14ac:dyDescent="0.35">
      <c r="A174" t="s">
        <v>167</v>
      </c>
      <c r="B174" t="s">
        <v>168</v>
      </c>
      <c r="C174" s="3" t="s">
        <v>14</v>
      </c>
      <c r="D174" s="3">
        <v>80</v>
      </c>
      <c r="E174" s="3" t="s">
        <v>15</v>
      </c>
      <c r="F174" s="3">
        <v>60</v>
      </c>
      <c r="G174" t="s">
        <v>167</v>
      </c>
      <c r="H174" s="3">
        <v>2</v>
      </c>
      <c r="I174" s="3">
        <v>80</v>
      </c>
      <c r="J174" s="3" t="str">
        <f>Taulukko19[[#This Row],[Nimi]]</f>
        <v>Alma Syrjä</v>
      </c>
      <c r="K174" s="3">
        <v>2</v>
      </c>
      <c r="L174" s="3">
        <v>80</v>
      </c>
      <c r="M174" s="3">
        <f>Taulukko19[[#This Row],[pisteet4]]+Taulukko19[[#This Row],[pisteet3]]+Taulukko19[[#This Row],[Pisteet2]]+Taulukko19[[#This Row],[Pisteet]]</f>
        <v>300</v>
      </c>
      <c r="N174" s="3">
        <f>Taulukko19[[#This Row],[Seurapisteet]]-MIN(L174,I174,F174,D174)</f>
        <v>240</v>
      </c>
      <c r="O174" s="3">
        <v>2</v>
      </c>
    </row>
    <row r="175" spans="1:15" x14ac:dyDescent="0.35">
      <c r="A175" t="s">
        <v>169</v>
      </c>
      <c r="B175" t="s">
        <v>64</v>
      </c>
      <c r="C175" s="3" t="s">
        <v>15</v>
      </c>
      <c r="D175" s="3">
        <v>60</v>
      </c>
      <c r="E175" s="3" t="s">
        <v>16</v>
      </c>
      <c r="F175" s="3">
        <v>50</v>
      </c>
      <c r="G175" t="s">
        <v>169</v>
      </c>
      <c r="H175" s="3">
        <v>3</v>
      </c>
      <c r="I175" s="3">
        <v>60</v>
      </c>
      <c r="J175" s="3" t="str">
        <f>Taulukko19[[#This Row],[Nimi]]</f>
        <v xml:space="preserve">	Iina Kiiskilä</v>
      </c>
      <c r="L175" s="3">
        <v>0</v>
      </c>
      <c r="M175" s="3">
        <f>Taulukko19[[#This Row],[pisteet4]]+Taulukko19[[#This Row],[pisteet3]]+Taulukko19[[#This Row],[Pisteet2]]+Taulukko19[[#This Row],[Pisteet]]</f>
        <v>170</v>
      </c>
      <c r="N175" s="3">
        <f>Taulukko19[[#This Row],[Seurapisteet]]-MIN(L175,I175,F175,D175)</f>
        <v>170</v>
      </c>
      <c r="O175" s="3">
        <v>3</v>
      </c>
    </row>
    <row r="176" spans="1:15" x14ac:dyDescent="0.35">
      <c r="A176" t="s">
        <v>170</v>
      </c>
      <c r="B176" t="s">
        <v>64</v>
      </c>
      <c r="D176" s="3">
        <v>0</v>
      </c>
      <c r="E176" s="3" t="s">
        <v>14</v>
      </c>
      <c r="F176" s="3">
        <v>80</v>
      </c>
      <c r="G176" t="s">
        <v>170</v>
      </c>
      <c r="I176" s="3">
        <v>0</v>
      </c>
      <c r="J176" s="3" t="str">
        <f>Taulukko19[[#This Row],[Nimi]]</f>
        <v>Tessa Herronen</v>
      </c>
      <c r="L176" s="3">
        <v>0</v>
      </c>
      <c r="M176" s="3">
        <f>Taulukko19[[#This Row],[pisteet4]]+Taulukko19[[#This Row],[pisteet3]]+Taulukko19[[#This Row],[Pisteet2]]+Taulukko19[[#This Row],[Pisteet]]</f>
        <v>80</v>
      </c>
      <c r="N176" s="3">
        <f>Taulukko19[[#This Row],[Seurapisteet]]-MIN(L176,I176,F176,D176)</f>
        <v>80</v>
      </c>
      <c r="O176" s="3">
        <v>4</v>
      </c>
    </row>
    <row r="177" spans="2:13" x14ac:dyDescent="0.35">
      <c r="M177" s="4"/>
    </row>
    <row r="182" spans="2:13" x14ac:dyDescent="0.35">
      <c r="B182" t="s">
        <v>195</v>
      </c>
      <c r="C182" t="s">
        <v>196</v>
      </c>
      <c r="D182" s="3" t="s">
        <v>197</v>
      </c>
    </row>
    <row r="183" spans="2:13" x14ac:dyDescent="0.35">
      <c r="B183" s="6"/>
    </row>
    <row r="184" spans="2:13" x14ac:dyDescent="0.35">
      <c r="B184" s="6"/>
    </row>
    <row r="185" spans="2:13" x14ac:dyDescent="0.35">
      <c r="B185" s="6"/>
    </row>
    <row r="186" spans="2:13" x14ac:dyDescent="0.35">
      <c r="B186" s="6"/>
    </row>
    <row r="187" spans="2:13" x14ac:dyDescent="0.35">
      <c r="B187" s="7"/>
    </row>
  </sheetData>
  <phoneticPr fontId="1" type="noConversion"/>
  <pageMargins left="0.7" right="0.7" top="0.75" bottom="0.75" header="0.3" footer="0.3"/>
  <pageSetup orientation="portrait" r:id="rId1"/>
  <tableParts count="1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B3797-7A08-46A1-A96E-39644E9CD83B}">
  <dimension ref="B2:I33"/>
  <sheetViews>
    <sheetView topLeftCell="A16" workbookViewId="0">
      <selection activeCell="J8" sqref="J8"/>
    </sheetView>
  </sheetViews>
  <sheetFormatPr defaultRowHeight="14.5" x14ac:dyDescent="0.35"/>
  <sheetData>
    <row r="2" spans="2:9" x14ac:dyDescent="0.35">
      <c r="D2" t="s">
        <v>44</v>
      </c>
      <c r="F2" t="s">
        <v>43</v>
      </c>
      <c r="H2" t="s">
        <v>12</v>
      </c>
    </row>
    <row r="3" spans="2:9" x14ac:dyDescent="0.35">
      <c r="B3" t="s">
        <v>1</v>
      </c>
      <c r="C3" t="s">
        <v>2</v>
      </c>
      <c r="D3" t="s">
        <v>3</v>
      </c>
      <c r="E3" t="s">
        <v>0</v>
      </c>
      <c r="F3" t="s">
        <v>58</v>
      </c>
      <c r="G3" t="s">
        <v>62</v>
      </c>
      <c r="H3" t="s">
        <v>1</v>
      </c>
      <c r="I3" t="s">
        <v>60</v>
      </c>
    </row>
    <row r="4" spans="2:9" x14ac:dyDescent="0.35">
      <c r="D4" s="2" t="s">
        <v>13</v>
      </c>
      <c r="E4">
        <v>100</v>
      </c>
      <c r="F4" s="2"/>
    </row>
    <row r="5" spans="2:9" x14ac:dyDescent="0.35">
      <c r="D5" s="2" t="s">
        <v>14</v>
      </c>
      <c r="E5">
        <v>80</v>
      </c>
      <c r="F5" s="2"/>
    </row>
    <row r="6" spans="2:9" x14ac:dyDescent="0.35">
      <c r="D6" s="2" t="s">
        <v>15</v>
      </c>
      <c r="E6">
        <v>60</v>
      </c>
      <c r="F6" s="2"/>
    </row>
    <row r="7" spans="2:9" x14ac:dyDescent="0.35">
      <c r="D7" s="2" t="s">
        <v>16</v>
      </c>
      <c r="E7">
        <v>50</v>
      </c>
      <c r="F7" s="2"/>
    </row>
    <row r="8" spans="2:9" x14ac:dyDescent="0.35">
      <c r="D8" s="2" t="s">
        <v>17</v>
      </c>
      <c r="E8">
        <v>45</v>
      </c>
      <c r="F8" s="2"/>
    </row>
    <row r="9" spans="2:9" x14ac:dyDescent="0.35">
      <c r="D9" s="2" t="s">
        <v>18</v>
      </c>
      <c r="E9">
        <v>40</v>
      </c>
      <c r="F9" s="2"/>
    </row>
    <row r="10" spans="2:9" x14ac:dyDescent="0.35">
      <c r="D10" s="2" t="s">
        <v>19</v>
      </c>
      <c r="E10">
        <v>36</v>
      </c>
      <c r="F10" s="2"/>
    </row>
    <row r="11" spans="2:9" x14ac:dyDescent="0.35">
      <c r="D11" s="2" t="s">
        <v>20</v>
      </c>
      <c r="E11">
        <v>32</v>
      </c>
      <c r="F11" s="2"/>
    </row>
    <row r="12" spans="2:9" x14ac:dyDescent="0.35">
      <c r="D12" s="2" t="s">
        <v>21</v>
      </c>
      <c r="E12">
        <v>29</v>
      </c>
      <c r="F12" s="2"/>
    </row>
    <row r="13" spans="2:9" x14ac:dyDescent="0.35">
      <c r="D13" s="2" t="s">
        <v>22</v>
      </c>
      <c r="E13">
        <v>26</v>
      </c>
      <c r="F13" s="2"/>
    </row>
    <row r="14" spans="2:9" x14ac:dyDescent="0.35">
      <c r="D14" s="2" t="s">
        <v>23</v>
      </c>
      <c r="E14">
        <v>24</v>
      </c>
      <c r="F14" s="2"/>
    </row>
    <row r="15" spans="2:9" x14ac:dyDescent="0.35">
      <c r="D15" s="2" t="s">
        <v>24</v>
      </c>
      <c r="E15">
        <v>22</v>
      </c>
      <c r="F15" s="2"/>
    </row>
    <row r="16" spans="2:9" x14ac:dyDescent="0.35">
      <c r="D16" s="2" t="s">
        <v>25</v>
      </c>
      <c r="E16">
        <v>20</v>
      </c>
      <c r="F16" s="2"/>
    </row>
    <row r="17" spans="4:6" x14ac:dyDescent="0.35">
      <c r="D17" s="2" t="s">
        <v>26</v>
      </c>
      <c r="E17">
        <v>18</v>
      </c>
      <c r="F17" s="2"/>
    </row>
    <row r="18" spans="4:6" x14ac:dyDescent="0.35">
      <c r="D18" s="2" t="s">
        <v>27</v>
      </c>
      <c r="E18">
        <v>16</v>
      </c>
      <c r="F18" s="2"/>
    </row>
    <row r="19" spans="4:6" x14ac:dyDescent="0.35">
      <c r="D19" s="2" t="s">
        <v>28</v>
      </c>
      <c r="E19">
        <v>15</v>
      </c>
      <c r="F19" s="2"/>
    </row>
    <row r="20" spans="4:6" x14ac:dyDescent="0.35">
      <c r="D20" s="2" t="s">
        <v>29</v>
      </c>
      <c r="E20">
        <v>14</v>
      </c>
      <c r="F20" s="2"/>
    </row>
    <row r="21" spans="4:6" x14ac:dyDescent="0.35">
      <c r="D21" s="2" t="s">
        <v>30</v>
      </c>
      <c r="E21">
        <v>13</v>
      </c>
      <c r="F21" s="2"/>
    </row>
    <row r="22" spans="4:6" x14ac:dyDescent="0.35">
      <c r="D22" s="2" t="s">
        <v>31</v>
      </c>
      <c r="E22">
        <v>12</v>
      </c>
      <c r="F22" s="2"/>
    </row>
    <row r="23" spans="4:6" x14ac:dyDescent="0.35">
      <c r="D23" s="2" t="s">
        <v>32</v>
      </c>
      <c r="E23">
        <v>11</v>
      </c>
      <c r="F23" s="2"/>
    </row>
    <row r="24" spans="4:6" x14ac:dyDescent="0.35">
      <c r="D24" s="2" t="s">
        <v>33</v>
      </c>
      <c r="E24">
        <v>10</v>
      </c>
      <c r="F24" s="2"/>
    </row>
    <row r="25" spans="4:6" x14ac:dyDescent="0.35">
      <c r="D25" s="2" t="s">
        <v>34</v>
      </c>
      <c r="E25">
        <v>9</v>
      </c>
      <c r="F25" s="2"/>
    </row>
    <row r="26" spans="4:6" x14ac:dyDescent="0.35">
      <c r="D26" s="2" t="s">
        <v>35</v>
      </c>
      <c r="E26">
        <v>8</v>
      </c>
      <c r="F26" s="2"/>
    </row>
    <row r="27" spans="4:6" x14ac:dyDescent="0.35">
      <c r="D27" s="2" t="s">
        <v>36</v>
      </c>
      <c r="E27">
        <v>7</v>
      </c>
      <c r="F27" s="2"/>
    </row>
    <row r="28" spans="4:6" x14ac:dyDescent="0.35">
      <c r="D28" s="2" t="s">
        <v>37</v>
      </c>
      <c r="E28">
        <v>6</v>
      </c>
      <c r="F28" s="2"/>
    </row>
    <row r="29" spans="4:6" x14ac:dyDescent="0.35">
      <c r="D29" s="2" t="s">
        <v>38</v>
      </c>
      <c r="E29">
        <v>5</v>
      </c>
      <c r="F29" s="2"/>
    </row>
    <row r="30" spans="4:6" x14ac:dyDescent="0.35">
      <c r="D30" s="2" t="s">
        <v>39</v>
      </c>
      <c r="E30">
        <v>4</v>
      </c>
      <c r="F30" s="2"/>
    </row>
    <row r="31" spans="4:6" x14ac:dyDescent="0.35">
      <c r="D31" s="2" t="s">
        <v>40</v>
      </c>
      <c r="E31">
        <v>3</v>
      </c>
      <c r="F31" s="2"/>
    </row>
    <row r="32" spans="4:6" x14ac:dyDescent="0.35">
      <c r="D32" s="2" t="s">
        <v>41</v>
      </c>
      <c r="E32">
        <v>2</v>
      </c>
      <c r="F32" s="2"/>
    </row>
    <row r="33" spans="4:6" x14ac:dyDescent="0.35">
      <c r="D33" s="2" t="s">
        <v>42</v>
      </c>
      <c r="E33">
        <v>1</v>
      </c>
      <c r="F3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Seurapisteet</vt:lpstr>
      <vt:lpstr>KP-CUP</vt:lpstr>
      <vt:lpstr>Pohja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Eemil Parkkila</dc:creator>
  <cp:lastModifiedBy>Maria Sorvisto</cp:lastModifiedBy>
  <dcterms:created xsi:type="dcterms:W3CDTF">2024-01-29T18:57:19Z</dcterms:created>
  <dcterms:modified xsi:type="dcterms:W3CDTF">2024-05-08T06:55:05Z</dcterms:modified>
</cp:coreProperties>
</file>